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godišnji obračun\2024\DUF\"/>
    </mc:Choice>
  </mc:AlternateContent>
  <xr:revisionPtr revIDLastSave="0" documentId="13_ncr:1_{A534D866-DF66-4542-917D-38008B15108D}" xr6:coauthVersionLast="47" xr6:coauthVersionMax="47" xr10:uidLastSave="{00000000-0000-0000-0000-000000000000}"/>
  <bookViews>
    <workbookView xWindow="28680" yWindow="-120" windowWidth="29040" windowHeight="15720" tabRatio="740" firstSheet="2" activeTab="2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6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C61" i="8"/>
  <c r="D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I146" i="6"/>
  <c r="D146" i="6"/>
  <c r="C146" i="6"/>
  <c r="D145" i="6"/>
  <c r="C145" i="6"/>
  <c r="I144" i="6"/>
  <c r="C144" i="6" s="1"/>
  <c r="D144" i="6"/>
  <c r="D140" i="6"/>
  <c r="C140" i="6"/>
  <c r="D139" i="6"/>
  <c r="C139" i="6"/>
  <c r="D138" i="6"/>
  <c r="C138" i="6"/>
  <c r="D137" i="6"/>
  <c r="C137" i="6"/>
  <c r="J136" i="6" a="1"/>
  <c r="J136" i="6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/>
  <c r="I90" i="6" a="1"/>
  <c r="I90" i="6" s="1"/>
  <c r="C90" i="6" s="1"/>
  <c r="D90" i="6"/>
  <c r="D89" i="6"/>
  <c r="C89" i="6"/>
  <c r="D88" i="6"/>
  <c r="C88" i="6"/>
  <c r="D87" i="6"/>
  <c r="C87" i="6"/>
  <c r="J86" i="6" a="1"/>
  <c r="J86" i="6"/>
  <c r="I86" i="6" a="1"/>
  <c r="I86" i="6" s="1"/>
  <c r="D86" i="6"/>
  <c r="D85" i="6"/>
  <c r="C85" i="6"/>
  <c r="D84" i="6"/>
  <c r="C84" i="6"/>
  <c r="D83" i="6"/>
  <c r="C83" i="6"/>
  <c r="D82" i="6"/>
  <c r="C82" i="6"/>
  <c r="J81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I32" i="6"/>
  <c r="C32" i="6"/>
  <c r="D31" i="6"/>
  <c r="C31" i="6"/>
  <c r="D30" i="6"/>
  <c r="C30" i="6"/>
  <c r="D29" i="6"/>
  <c r="C29" i="6"/>
  <c r="J28" i="6" a="1"/>
  <c r="J28" i="6" s="1"/>
  <c r="I28" i="6" a="1"/>
  <c r="I28" i="6"/>
  <c r="D28" i="6"/>
  <c r="C28" i="6"/>
  <c r="D27" i="6"/>
  <c r="C27" i="6"/>
  <c r="D26" i="6"/>
  <c r="C26" i="6"/>
  <c r="D25" i="6"/>
  <c r="C25" i="6"/>
  <c r="J24" i="6" a="1"/>
  <c r="J24" i="6" s="1"/>
  <c r="I24" i="6" a="1"/>
  <c r="I24" i="6"/>
  <c r="D24" i="6"/>
  <c r="C24" i="6"/>
  <c r="D23" i="6"/>
  <c r="C23" i="6"/>
  <c r="D22" i="6"/>
  <c r="C22" i="6"/>
  <c r="D21" i="6"/>
  <c r="C21" i="6"/>
  <c r="J20" i="6" a="1"/>
  <c r="J20" i="6" s="1"/>
  <c r="J19" i="6" s="1"/>
  <c r="I20" i="6" a="1"/>
  <c r="I20" i="6" s="1"/>
  <c r="C20" i="6" s="1"/>
  <c r="D19" i="6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I130" i="5"/>
  <c r="C130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AG22" i="9" l="1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J41" i="5"/>
  <c r="J81" i="5"/>
  <c r="C112" i="5"/>
  <c r="I114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D116" i="8"/>
  <c r="D120" i="8" s="1"/>
  <c r="D121" i="8" s="1"/>
  <c r="K119" i="8"/>
  <c r="D119" i="8" s="1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D81" i="6"/>
  <c r="N25" i="9"/>
  <c r="X37" i="9"/>
  <c r="Q25" i="9"/>
  <c r="J119" i="8" l="1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C80" i="6"/>
  <c r="M41" i="9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C114" i="5"/>
  <c r="B64" i="3"/>
  <c r="AD53" i="9"/>
  <c r="Q53" i="9" s="1"/>
  <c r="Q41" i="9"/>
  <c r="J87" i="5"/>
  <c r="D19" i="5"/>
  <c r="B48" i="3"/>
  <c r="L37" i="9"/>
  <c r="Y41" i="9"/>
  <c r="B63" i="3"/>
  <c r="I87" i="5"/>
  <c r="C19" i="5"/>
  <c r="I142" i="6" l="1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C142" i="6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/>
  <c r="C149" i="5" s="1"/>
  <c r="AG41" i="9"/>
  <c r="T41" i="9" s="1"/>
  <c r="R41" i="9"/>
  <c r="AE53" i="9"/>
  <c r="K53" i="9"/>
  <c r="K54" i="9" s="1"/>
  <c r="J147" i="5"/>
  <c r="D147" i="5" s="1"/>
  <c r="D145" i="5"/>
  <c r="D148" i="5" s="1"/>
  <c r="D149" i="5" s="1"/>
  <c r="B59" i="3"/>
  <c r="J155" i="6"/>
  <c r="D142" i="6"/>
  <c r="J156" i="6"/>
  <c r="D156" i="6" s="1"/>
  <c r="I158" i="6" l="1"/>
  <c r="C158" i="6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<sst xmlns="http://schemas.openxmlformats.org/spreadsheetml/2006/main" count="4260" uniqueCount="2627">
  <si>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</si>
  <si>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</si>
  <si>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</si>
  <si>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</si>
  <si>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</si>
  <si>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</si>
  <si>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</si>
  <si>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</si>
  <si>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</si>
  <si>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</si>
  <si>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</si>
  <si>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</si>
  <si>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</si>
  <si>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</si>
  <si>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</si>
  <si>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</si>
  <si>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</si>
  <si>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</si>
  <si>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</si>
  <si>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</si>
  <si>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</si>
  <si>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</si>
  <si>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</si>
  <si>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</si>
  <si>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</si>
  <si>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</si>
  <si>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</si>
  <si>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</si>
  <si>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</si>
  <si>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</si>
  <si>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</si>
  <si>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</si>
  <si>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</si>
  <si>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</si>
  <si>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</si>
  <si>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</si>
  <si>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</si>
  <si>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</si>
  <si>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</si>
  <si>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</si>
  <si>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</si>
  <si>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</si>
  <si>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</si>
  <si>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</si>
  <si>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</si>
  <si>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</si>
  <si>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</si>
  <si>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</si>
  <si>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</si>
  <si>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</si>
  <si>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</si>
  <si>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</si>
  <si>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</si>
  <si>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</si>
  <si>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</si>
  <si>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</si>
  <si>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</si>
  <si>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</si>
  <si>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</si>
  <si>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</si>
  <si>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</si>
  <si>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</si>
  <si>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</si>
  <si>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</si>
  <si>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</si>
  <si>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</si>
  <si>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</si>
  <si>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</si>
  <si>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</si>
  <si>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</si>
  <si>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</si>
  <si>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</si>
  <si>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</si>
  <si>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</si>
  <si>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</si>
  <si>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</si>
  <si>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</si>
  <si>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</si>
  <si>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</si>
  <si>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</si>
  <si>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</si>
  <si>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</si>
  <si>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</si>
  <si>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</si>
  <si>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</si>
  <si>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</si>
  <si>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</si>
  <si>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</si>
  <si>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</si>
  <si>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</si>
  <si>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</si>
  <si>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</si>
  <si>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</si>
  <si>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</si>
  <si>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</si>
  <si>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</si>
  <si>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</si>
  <si>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</si>
  <si>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</si>
  <si>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</si>
  <si>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</si>
  <si>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</si>
  <si>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</si>
  <si>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</si>
  <si>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</si>
  <si>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</si>
  <si>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</si>
  <si>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</si>
  <si>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</si>
  <si>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</si>
  <si>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</si>
  <si>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</si>
  <si>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</si>
  <si>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</si>
  <si>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</si>
  <si>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</si>
  <si>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</si>
  <si>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</si>
  <si>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</si>
  <si>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</si>
  <si>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</si>
  <si>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</si>
  <si>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</si>
  <si>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</si>
  <si>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</si>
  <si>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</si>
  <si>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</si>
  <si>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</si>
  <si>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</si>
  <si>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</si>
  <si>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</si>
  <si>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</si>
  <si>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</si>
  <si>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</si>
  <si>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</si>
  <si>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</si>
  <si>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</si>
  <si>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</si>
  <si>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</si>
  <si>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</si>
  <si>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</si>
  <si>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</si>
  <si>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</si>
  <si>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</si>
  <si>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</si>
  <si>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</si>
  <si>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</si>
  <si>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</si>
  <si>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</si>
  <si>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</si>
  <si>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</si>
  <si>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</si>
  <si>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</si>
  <si>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</si>
  <si>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</si>
  <si>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</si>
  <si>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</si>
  <si>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</si>
  <si>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</si>
  <si>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</si>
  <si>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</si>
  <si>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</si>
  <si>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</si>
  <si>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</si>
  <si>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</si>
  <si>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</si>
  <si>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</si>
  <si>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</si>
  <si>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</si>
  <si>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</si>
  <si>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</si>
  <si>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</si>
  <si>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</si>
  <si>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</si>
  <si>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</si>
  <si>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</si>
  <si>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</si>
  <si>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</si>
  <si>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</si>
  <si>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</si>
  <si>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</si>
  <si>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</si>
  <si>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</si>
  <si>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</si>
  <si>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</si>
  <si>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</si>
  <si>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</si>
  <si>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</si>
  <si>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</si>
  <si>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</si>
  <si>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</si>
  <si>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</si>
  <si>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</si>
  <si>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</si>
  <si>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</si>
  <si>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</si>
  <si>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</si>
  <si>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</si>
  <si>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</si>
  <si>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</si>
  <si>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</si>
  <si>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</si>
  <si>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</si>
  <si>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</si>
  <si>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</si>
  <si>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</si>
  <si>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</si>
  <si>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</si>
  <si>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</si>
  <si>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</si>
  <si>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</si>
  <si>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</si>
  <si>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</si>
  <si>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</si>
  <si>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</si>
  <si>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</si>
  <si>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</si>
  <si>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</si>
  <si>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</si>
  <si>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</si>
  <si>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</si>
  <si>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</si>
  <si>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</si>
  <si>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</si>
  <si>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</si>
  <si>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</si>
  <si>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</si>
  <si>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</si>
  <si>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</si>
  <si>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</si>
  <si>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</si>
  <si>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</si>
  <si>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</si>
  <si>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</si>
  <si>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</si>
  <si>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</si>
  <si>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</si>
  <si>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</si>
  <si>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</si>
  <si>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</si>
  <si>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</si>
  <si>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</si>
  <si>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</si>
  <si>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</si>
  <si>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</si>
  <si>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</si>
  <si>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</si>
  <si>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</si>
  <si>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</si>
  <si>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</si>
  <si>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</si>
  <si>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</si>
  <si>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</si>
  <si>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</si>
  <si>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</si>
  <si>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</si>
  <si>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</si>
  <si>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</si>
  <si>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</si>
  <si>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</si>
  <si>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</si>
  <si>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</si>
  <si>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</si>
  <si>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</si>
  <si>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</si>
  <si>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</si>
  <si>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</si>
  <si>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</si>
  <si>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</si>
  <si>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</si>
  <si>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</si>
  <si>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</si>
  <si>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</si>
  <si>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</si>
  <si>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</si>
  <si>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</si>
  <si>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</si>
  <si>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</si>
  <si>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</si>
  <si>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</si>
  <si>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</si>
  <si>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</si>
  <si>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</si>
  <si>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</si>
  <si>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</si>
  <si>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</si>
  <si>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</si>
  <si>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</si>
  <si>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</si>
  <si>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</si>
  <si>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</si>
  <si>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</si>
  <si>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</si>
  <si>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</si>
  <si>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</si>
  <si>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</si>
  <si>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</si>
  <si>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</si>
  <si>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</si>
  <si>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</si>
  <si>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</si>
  <si>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</si>
  <si>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</si>
  <si>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</si>
  <si>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</si>
  <si>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</si>
  <si>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</si>
  <si>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</si>
  <si>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</si>
  <si>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</si>
  <si>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</si>
  <si>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</si>
  <si>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</si>
  <si>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</si>
  <si>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</si>
  <si>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</si>
  <si>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</si>
  <si>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</si>
  <si>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</si>
  <si>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</si>
  <si>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</si>
  <si>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</si>
  <si>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</si>
  <si>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</si>
  <si>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</si>
  <si>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</si>
  <si>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</si>
  <si>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</si>
  <si>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</si>
  <si>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</si>
  <si>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</si>
  <si>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</si>
  <si>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</si>
  <si>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</si>
  <si>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</si>
  <si>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</si>
  <si>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</si>
  <si>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</si>
  <si>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</si>
  <si>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</si>
  <si>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</si>
  <si>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</si>
  <si>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</si>
  <si>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</si>
  <si>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</si>
  <si>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</si>
  <si>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</si>
  <si>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</si>
  <si>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</si>
  <si>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</si>
  <si>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</si>
  <si>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</si>
  <si>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</si>
  <si>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</si>
  <si>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</si>
  <si>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</si>
  <si>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</si>
  <si>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</si>
  <si>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</si>
  <si>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</si>
  <si>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</si>
  <si>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</si>
  <si>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</si>
  <si>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</si>
  <si>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</si>
  <si>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</si>
  <si>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</si>
  <si>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</si>
  <si>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</si>
  <si>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</si>
  <si>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</si>
  <si>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</si>
  <si>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</si>
  <si>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</si>
  <si>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</si>
  <si>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</si>
  <si>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</si>
  <si>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</si>
  <si>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</si>
  <si>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</si>
  <si>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</si>
  <si>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</si>
  <si>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</si>
  <si>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</si>
  <si>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</si>
  <si>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</si>
  <si>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</si>
  <si>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</si>
  <si>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</si>
  <si>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</si>
  <si>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</si>
  <si>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</si>
  <si>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</si>
  <si>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</si>
  <si>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</si>
  <si>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</si>
  <si>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</si>
  <si>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</si>
  <si>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</si>
  <si>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</si>
  <si>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</si>
  <si>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</si>
  <si>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</si>
  <si>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</si>
  <si>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</si>
  <si>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</si>
  <si>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</si>
  <si>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</si>
  <si>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</si>
  <si>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</si>
  <si>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</si>
  <si>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</si>
  <si>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</si>
  <si>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</si>
  <si>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</si>
  <si>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</si>
  <si>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</si>
  <si>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</si>
  <si>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</si>
  <si>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</si>
  <si>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</si>
  <si>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</si>
  <si>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</si>
  <si>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</si>
  <si>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</si>
  <si>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</si>
  <si>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</si>
  <si>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</si>
  <si>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</si>
  <si>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</si>
  <si>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</si>
  <si>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</si>
  <si>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</si>
  <si>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</si>
  <si>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</si>
  <si>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</si>
  <si>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</si>
  <si>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</si>
  <si>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</si>
  <si>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</si>
  <si>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</si>
  <si>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</si>
  <si>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</si>
  <si>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</si>
  <si>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</si>
  <si>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</si>
  <si>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</si>
  <si>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</si>
  <si>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</si>
  <si>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</si>
  <si>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</si>
  <si>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</si>
  <si>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</si>
  <si>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</si>
  <si>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</si>
  <si>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</si>
  <si>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</si>
  <si>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</si>
  <si>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</si>
  <si>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</si>
  <si>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</si>
  <si>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</si>
  <si>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</si>
  <si>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</si>
  <si>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</si>
  <si>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</si>
  <si>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</si>
  <si>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</si>
  <si>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</si>
  <si>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</si>
  <si>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</si>
  <si>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</si>
  <si>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</si>
  <si>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</si>
  <si>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</si>
  <si>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</si>
  <si>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</si>
  <si>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</si>
  <si>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</si>
  <si>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</si>
  <si>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</si>
  <si>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</si>
  <si>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</si>
  <si>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</si>
  <si>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</si>
  <si>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</si>
  <si>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</si>
  <si>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</si>
  <si>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</si>
  <si>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</si>
  <si>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</si>
  <si>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</si>
  <si>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</si>
  <si>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</si>
  <si>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</si>
  <si>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</si>
  <si>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</si>
  <si>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</si>
  <si>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</si>
  <si>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</si>
  <si>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</si>
  <si>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</si>
  <si>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</si>
  <si>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</si>
  <si>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</si>
  <si>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</si>
  <si>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</si>
  <si>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</si>
  <si>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</si>
  <si>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</si>
  <si>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</si>
  <si>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</si>
  <si>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</si>
  <si>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</si>
  <si>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</si>
  <si>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</si>
  <si>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</si>
  <si>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</si>
  <si>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</si>
  <si>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</si>
  <si>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</si>
  <si>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</si>
  <si>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</si>
  <si>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</si>
  <si>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</si>
  <si>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</si>
  <si>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</si>
  <si>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</si>
  <si>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</si>
  <si>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</si>
  <si>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</si>
  <si>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</si>
  <si>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</si>
  <si>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</si>
  <si>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</si>
  <si>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</si>
  <si>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</si>
  <si>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</si>
  <si>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</si>
  <si>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</si>
  <si>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</si>
  <si>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</si>
  <si>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</si>
  <si>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</si>
  <si>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</si>
  <si>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</si>
  <si>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</si>
  <si>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</si>
  <si>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</si>
  <si>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</si>
  <si>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</si>
  <si>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</si>
  <si>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</si>
  <si>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</si>
  <si>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</si>
  <si>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</si>
  <si>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</si>
  <si>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</si>
  <si>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</si>
  <si>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</si>
  <si>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</si>
  <si>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</si>
  <si>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</si>
  <si>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</si>
  <si>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</si>
  <si>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</si>
  <si>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</si>
  <si>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</si>
  <si>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</si>
  <si>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</si>
  <si>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</si>
  <si>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</si>
  <si>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</si>
  <si>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</si>
  <si>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</si>
  <si>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</si>
  <si>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</si>
  <si>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</si>
  <si>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</si>
  <si>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</si>
  <si>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</si>
  <si>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</si>
  <si>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</si>
  <si>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</si>
  <si>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</si>
  <si>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</si>
  <si>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</si>
  <si>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</si>
  <si>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</si>
  <si>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</si>
  <si>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</si>
  <si>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</si>
  <si>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</si>
  <si>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</si>
  <si>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</si>
  <si>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</si>
  <si>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</si>
  <si>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</si>
  <si>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</si>
  <si>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</si>
  <si>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</si>
  <si>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</si>
  <si>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</si>
  <si>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</si>
  <si>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</si>
  <si>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</si>
  <si>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</si>
  <si>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</si>
  <si>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</si>
  <si>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</si>
  <si>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</si>
  <si>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</si>
  <si>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</si>
  <si>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</si>
  <si>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</si>
  <si>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</si>
  <si>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</si>
  <si>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</si>
  <si>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</si>
  <si>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</si>
  <si>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</si>
  <si>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</si>
  <si>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</si>
  <si>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</si>
  <si>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</si>
  <si>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</si>
  <si>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</si>
  <si>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</si>
  <si>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</si>
  <si>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</si>
  <si>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</si>
  <si>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</si>
  <si>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</si>
  <si>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</si>
  <si>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</si>
  <si>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</si>
  <si>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</si>
  <si>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</si>
  <si>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</si>
  <si>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</si>
  <si>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</si>
  <si>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</si>
  <si>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</si>
  <si>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</si>
  <si>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</si>
  <si>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</si>
  <si>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</si>
  <si>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</si>
  <si>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</si>
  <si>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</si>
  <si>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</si>
  <si>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</si>
  <si>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</si>
  <si>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</si>
  <si>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</si>
  <si>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</si>
  <si>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</si>
  <si>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</si>
  <si>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</si>
  <si>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</si>
  <si>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</si>
  <si>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</si>
  <si>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</si>
  <si>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</si>
  <si>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</si>
  <si>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</si>
  <si>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</si>
  <si>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</si>
  <si>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</si>
  <si>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</si>
  <si>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</si>
  <si>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</si>
  <si>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</si>
  <si>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</si>
  <si>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</si>
  <si>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</si>
  <si>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</si>
  <si>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</si>
  <si>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</si>
  <si>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</si>
  <si>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</si>
  <si>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</si>
  <si>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</si>
  <si>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</si>
  <si>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</si>
  <si>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</si>
  <si>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</si>
  <si>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</si>
  <si>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</si>
  <si>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</si>
  <si>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</si>
  <si>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</si>
  <si>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</si>
  <si>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</si>
  <si>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</si>
  <si>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</si>
  <si>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</si>
  <si>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</si>
  <si>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</si>
  <si>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</si>
  <si>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</si>
  <si>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</si>
  <si>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</si>
  <si>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</si>
  <si>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</si>
  <si>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</si>
  <si>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</si>
  <si>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</si>
  <si>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</si>
  <si>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</si>
  <si>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</si>
  <si>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</si>
  <si>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</si>
  <si>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</si>
  <si>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</si>
  <si>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</si>
  <si>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</si>
  <si>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</si>
  <si>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</si>
  <si>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</si>
  <si>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</si>
  <si>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</si>
  <si>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</si>
  <si>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</si>
  <si>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</si>
  <si>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</si>
  <si>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</si>
  <si>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</si>
  <si>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</si>
  <si>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</si>
  <si>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</si>
  <si>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</si>
  <si>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</si>
  <si>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</si>
  <si>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</si>
  <si>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</si>
  <si>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</si>
  <si>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</si>
  <si>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</si>
  <si>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</si>
  <si>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</si>
  <si>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</si>
  <si>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</si>
  <si>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</si>
  <si>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</si>
  <si>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</si>
  <si>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</si>
  <si>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</si>
  <si>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</si>
  <si>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</si>
  <si>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</si>
  <si>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</si>
  <si>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</si>
  <si>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</si>
  <si>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</si>
  <si>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</si>
  <si>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</si>
  <si>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</si>
  <si>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</si>
  <si>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</si>
  <si>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</si>
  <si>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</si>
  <si>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</si>
  <si>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</si>
  <si>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</si>
  <si>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</si>
  <si>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</si>
  <si>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</si>
  <si>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</si>
  <si>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</si>
  <si>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</si>
  <si>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</si>
  <si>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</si>
  <si>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</si>
  <si>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</si>
  <si>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</si>
  <si>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</si>
  <si>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</si>
  <si>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</si>
  <si>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</si>
  <si>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</si>
  <si>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</si>
  <si>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</si>
  <si>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</si>
  <si>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</si>
  <si>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</si>
  <si>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</si>
  <si>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</si>
  <si>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</si>
  <si>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</si>
  <si>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</si>
  <si>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</si>
  <si>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</si>
  <si>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</si>
  <si>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</si>
  <si>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</si>
  <si>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</si>
  <si>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</si>
  <si>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</si>
  <si>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</si>
  <si>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</si>
  <si>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</si>
  <si>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</si>
  <si>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</si>
  <si>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</si>
  <si>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</si>
  <si>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</si>
  <si>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</si>
  <si>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</si>
  <si>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</si>
  <si>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</si>
  <si>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</si>
  <si>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</si>
  <si>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</si>
  <si>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</si>
  <si>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</si>
  <si>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</si>
  <si>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</si>
  <si>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</si>
  <si>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</si>
  <si>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</si>
  <si>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</si>
  <si>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</si>
  <si>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</si>
  <si>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</si>
  <si>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</si>
  <si>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</si>
  <si>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</si>
  <si>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</si>
  <si>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</si>
  <si>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</si>
  <si>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</si>
  <si>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</si>
  <si>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</si>
  <si>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</si>
  <si>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</si>
  <si>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</si>
  <si>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</si>
  <si>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</si>
  <si>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</si>
  <si>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</si>
  <si>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</si>
  <si>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</si>
  <si>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</si>
  <si>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</si>
  <si>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</si>
  <si>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</si>
  <si>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</si>
  <si>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</si>
  <si>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</si>
  <si>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</si>
  <si>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</si>
  <si>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</si>
  <si>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</si>
  <si>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</si>
  <si>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</si>
  <si>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</si>
  <si>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</si>
  <si>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</si>
  <si>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</si>
  <si>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</si>
  <si>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</si>
  <si>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</si>
  <si>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</si>
  <si>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</si>
  <si>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</si>
  <si>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</si>
  <si>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</si>
  <si>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</si>
  <si>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</si>
  <si>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</si>
  <si>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</si>
  <si>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</si>
  <si>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</si>
  <si>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</si>
  <si>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</si>
  <si>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</si>
  <si>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</si>
  <si>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</si>
  <si>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</si>
  <si>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</si>
  <si>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</si>
  <si>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</si>
  <si>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</si>
  <si>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</si>
  <si>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</si>
  <si>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</si>
  <si>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</si>
  <si>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</si>
  <si>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</si>
  <si>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</si>
  <si>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</si>
  <si>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</si>
  <si>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</si>
  <si>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</si>
  <si>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</si>
  <si>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</si>
  <si>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</si>
  <si>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</si>
  <si>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</si>
  <si>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</si>
  <si>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</si>
  <si>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</si>
  <si>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</si>
  <si>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</si>
  <si>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</si>
  <si>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</si>
  <si>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</si>
  <si>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</si>
  <si>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</si>
  <si>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</si>
  <si>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</si>
  <si>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</si>
  <si>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</si>
  <si>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</si>
  <si>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</si>
  <si>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</si>
  <si>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</si>
  <si>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</si>
  <si>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</si>
  <si>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</si>
  <si>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</si>
  <si>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</si>
  <si>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</si>
  <si>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</si>
  <si>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</si>
  <si>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</si>
  <si>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</si>
  <si>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</si>
  <si>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</si>
  <si>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</si>
  <si>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</si>
  <si>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</si>
  <si>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</si>
  <si>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</si>
  <si>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</si>
  <si>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</si>
  <si>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</si>
  <si>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</si>
  <si>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</si>
  <si>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</si>
  <si>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</si>
  <si>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</si>
  <si>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</si>
  <si>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</si>
  <si>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</si>
  <si>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</si>
  <si>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</si>
  <si>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</si>
  <si>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</si>
  <si>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</si>
  <si>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</si>
  <si>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</si>
  <si>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</si>
  <si>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</si>
  <si>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</si>
  <si>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</si>
  <si>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</si>
  <si>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</si>
  <si>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</si>
  <si>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</si>
  <si>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</si>
  <si>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</si>
  <si>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</si>
  <si>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</si>
  <si>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</si>
  <si>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</si>
  <si>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</si>
  <si>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</si>
  <si>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</si>
  <si>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</si>
  <si>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</si>
  <si>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</si>
  <si>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</si>
  <si>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</si>
  <si>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</si>
  <si>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</si>
  <si>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</si>
  <si>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</si>
  <si>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</si>
  <si>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</si>
  <si>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</si>
  <si>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</si>
  <si>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</si>
  <si>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</si>
  <si>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</si>
  <si>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</si>
  <si>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</si>
  <si>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</si>
  <si>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</si>
  <si>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</si>
  <si>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</si>
  <si>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</si>
  <si>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</si>
  <si>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</si>
  <si>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</si>
  <si>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</si>
  <si>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</si>
  <si>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</si>
  <si>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</si>
  <si>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</si>
  <si>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</si>
  <si>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</si>
  <si>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</si>
  <si>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</si>
  <si>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</si>
  <si>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</si>
  <si>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</si>
  <si>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</si>
  <si>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</si>
  <si>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</si>
  <si>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</si>
  <si>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</si>
  <si>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</si>
  <si>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</si>
  <si>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</si>
  <si>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</si>
  <si>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</si>
  <si>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</si>
  <si>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</si>
  <si>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</si>
  <si>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</si>
  <si>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</si>
  <si>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</si>
  <si>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</si>
  <si>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</si>
  <si>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</si>
  <si>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</si>
  <si>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</si>
  <si>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</si>
  <si>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</si>
  <si>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</si>
  <si>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</si>
  <si>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</si>
  <si>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</si>
  <si>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</si>
  <si>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</si>
  <si>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</si>
  <si>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</si>
  <si>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</si>
  <si>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</si>
  <si>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</si>
  <si>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</si>
  <si>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</si>
  <si>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</si>
  <si>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</si>
  <si>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</si>
  <si>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</si>
  <si>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</si>
  <si>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</si>
  <si>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</si>
  <si>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</si>
  <si>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</si>
  <si>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</si>
  <si>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</si>
  <si>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</si>
  <si>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</si>
  <si>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</si>
  <si>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</si>
  <si>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</si>
  <si>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</si>
  <si>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</si>
  <si>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</si>
  <si>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</si>
  <si>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</si>
  <si>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</si>
  <si>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</si>
  <si>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</si>
  <si>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</si>
  <si>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</si>
  <si>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</si>
  <si>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</si>
  <si>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</si>
  <si>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</si>
  <si>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</si>
  <si>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</si>
  <si>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</si>
  <si>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</si>
  <si>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</si>
  <si>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</si>
  <si>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</si>
  <si>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</si>
  <si>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</si>
  <si>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</si>
  <si>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</si>
  <si>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</si>
  <si>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</si>
  <si>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</si>
  <si>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</si>
  <si>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</si>
  <si>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</si>
  <si>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</si>
  <si>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</si>
  <si>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</si>
  <si>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</si>
  <si>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</si>
  <si>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</si>
  <si>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</si>
  <si>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</si>
  <si>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</si>
  <si>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</si>
  <si>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</si>
  <si>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</si>
  <si>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</si>
  <si>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</si>
  <si>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</si>
  <si>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</si>
  <si>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</si>
  <si>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</si>
  <si>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</si>
  <si>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</si>
  <si>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</si>
  <si>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</si>
  <si>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</si>
  <si>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</si>
  <si>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</si>
  <si>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</si>
  <si>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</si>
  <si>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</si>
  <si>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</si>
  <si>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</si>
  <si>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</si>
  <si>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</si>
  <si>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</si>
  <si>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</si>
  <si>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</si>
  <si>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</si>
  <si>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</si>
  <si>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</si>
  <si>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</si>
  <si>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</si>
  <si>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</si>
  <si>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</si>
  <si>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</si>
  <si>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</si>
  <si>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</si>
  <si>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</si>
  <si>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</si>
  <si>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</si>
  <si>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</si>
  <si>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</si>
  <si>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</si>
  <si>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</si>
  <si>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</si>
  <si>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</si>
  <si>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</si>
  <si>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</si>
  <si>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</si>
  <si>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</si>
  <si>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</si>
  <si>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</si>
  <si>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</si>
  <si>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</si>
  <si>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</si>
  <si>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</si>
  <si>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</si>
  <si>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</si>
  <si>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</si>
  <si>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</si>
  <si>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</si>
  <si>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</si>
  <si>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</si>
  <si>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</si>
  <si>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</si>
  <si>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</si>
  <si>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</si>
  <si>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</si>
  <si>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</si>
  <si>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</si>
  <si>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</si>
  <si>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</si>
  <si>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</si>
  <si>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</si>
  <si>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</si>
  <si>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</si>
  <si>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</si>
  <si>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</si>
  <si>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</si>
  <si>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</si>
  <si>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</si>
  <si>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</si>
  <si>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</si>
  <si>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</si>
  <si>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</si>
  <si>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</si>
  <si>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</si>
  <si>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</si>
  <si>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</si>
  <si>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</si>
  <si>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</si>
  <si>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</si>
  <si>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</si>
  <si>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</si>
  <si>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</si>
  <si>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</si>
  <si>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</si>
  <si>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</si>
  <si>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</si>
  <si>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</si>
  <si>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</si>
  <si>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</si>
  <si>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</si>
  <si>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</si>
  <si>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</si>
  <si>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</si>
  <si>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</si>
  <si>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</si>
  <si>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</si>
  <si>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</si>
  <si>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</si>
  <si>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</si>
  <si>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</si>
  <si>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</si>
  <si>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</si>
  <si>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</si>
  <si>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</si>
  <si>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</si>
  <si>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</si>
  <si>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</si>
  <si>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</si>
  <si>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</si>
  <si>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</si>
  <si>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</si>
  <si>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</si>
  <si>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</si>
  <si>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</si>
  <si>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</si>
  <si>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</si>
  <si>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</si>
  <si>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</si>
  <si>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</si>
  <si>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</si>
  <si>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</si>
  <si>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</si>
  <si>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</si>
  <si>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</si>
  <si>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</si>
  <si>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</si>
  <si>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</si>
  <si>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</si>
  <si>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</si>
  <si>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</si>
  <si>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</si>
  <si>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</si>
  <si>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</si>
  <si>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</si>
  <si>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</si>
  <si>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</si>
  <si>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</si>
  <si>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</si>
  <si>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</si>
  <si>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</si>
  <si>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</si>
  <si>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</si>
  <si>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</si>
  <si>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</si>
  <si>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</si>
  <si>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</si>
  <si>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</si>
  <si>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</si>
  <si>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</si>
  <si>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</si>
  <si>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</si>
  <si>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</si>
  <si>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</si>
  <si>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</si>
  <si>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</si>
  <si>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</si>
  <si>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</si>
  <si>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</si>
  <si>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</si>
  <si>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</si>
  <si>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</si>
  <si>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</si>
  <si>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</si>
  <si>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</si>
  <si>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</si>
  <si>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</si>
  <si>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</si>
  <si>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</si>
  <si>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</si>
  <si>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</si>
  <si>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</si>
  <si>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</si>
  <si>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</si>
  <si>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</si>
  <si>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</si>
  <si>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</si>
  <si>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</si>
  <si>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</si>
  <si>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</si>
  <si>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</si>
  <si>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</si>
  <si>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</si>
  <si>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</si>
  <si>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</si>
  <si>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</si>
  <si>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</si>
  <si>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</si>
  <si>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</si>
  <si>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</si>
  <si>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</si>
  <si>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</si>
  <si>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</si>
  <si>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</si>
  <si>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</si>
  <si>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</si>
  <si>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</si>
  <si>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</si>
  <si>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</si>
  <si>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</si>
  <si>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</si>
  <si>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</si>
  <si>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</si>
  <si>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</si>
  <si>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</si>
  <si>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</si>
  <si>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</si>
  <si>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</si>
  <si>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</si>
  <si>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</si>
  <si>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</si>
  <si>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</si>
  <si>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</si>
  <si>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</si>
  <si>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</si>
  <si>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</si>
  <si>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</si>
  <si>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</si>
  <si>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</si>
  <si>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</si>
  <si>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</si>
  <si>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</si>
  <si>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</si>
  <si>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</si>
  <si>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</si>
  <si>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</si>
  <si>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</si>
  <si>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</si>
  <si>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</si>
  <si>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</si>
  <si>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</si>
  <si>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</si>
  <si>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</si>
  <si>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</si>
  <si>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</si>
  <si>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</si>
  <si>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</si>
  <si>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</si>
  <si>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</si>
  <si>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</si>
  <si>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</si>
  <si>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</si>
  <si>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</si>
  <si>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</si>
  <si>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</si>
  <si>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</si>
  <si>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</si>
  <si>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</si>
  <si>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</si>
  <si>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</si>
  <si>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</si>
  <si>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</si>
  <si>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</si>
  <si>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</si>
  <si>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</si>
  <si>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</si>
  <si>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</si>
  <si>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</si>
  <si>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</si>
  <si>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</si>
  <si>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</si>
  <si>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</si>
  <si>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</si>
  <si>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</si>
  <si>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</si>
  <si>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</si>
  <si>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</si>
  <si>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</si>
  <si>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</si>
  <si>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</si>
  <si>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</si>
  <si>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</si>
  <si>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</si>
  <si>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</si>
  <si>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</si>
  <si>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</si>
  <si>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</si>
  <si>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</si>
  <si>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</si>
  <si>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</si>
  <si>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</si>
  <si>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</si>
  <si>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</si>
  <si>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</si>
  <si>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</si>
  <si>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</si>
  <si>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</si>
  <si>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</si>
  <si>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</si>
  <si>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</si>
  <si>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</si>
  <si>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</si>
  <si>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</si>
  <si>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</si>
  <si>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</si>
  <si>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</si>
  <si>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</si>
  <si>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</si>
  <si>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</si>
  <si>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</si>
  <si>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</si>
  <si>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</si>
  <si>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</si>
  <si>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</si>
  <si>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</si>
  <si>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</si>
  <si>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</si>
  <si>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</si>
  <si>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</si>
  <si>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</si>
  <si>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</si>
  <si>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</si>
  <si>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</si>
  <si>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</si>
  <si>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</si>
  <si>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</si>
  <si>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</si>
  <si>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</si>
  <si>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</si>
  <si>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</si>
  <si>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</si>
  <si>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</si>
  <si>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</si>
  <si>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</si>
  <si>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</si>
  <si>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</si>
  <si>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</si>
  <si>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</si>
  <si>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</si>
  <si>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</si>
  <si>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</si>
  <si>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</si>
  <si>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</si>
  <si>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</si>
  <si>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</si>
  <si>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</si>
  <si>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</si>
  <si>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</si>
  <si>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</si>
  <si>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</si>
  <si>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</si>
  <si>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</si>
  <si>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</si>
  <si>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</si>
  <si>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</si>
  <si>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</si>
  <si>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</si>
  <si>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</si>
  <si>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</si>
  <si>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</si>
  <si>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</si>
  <si>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</si>
  <si>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</si>
  <si>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</si>
  <si>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</si>
  <si>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</si>
  <si>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</si>
  <si>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</si>
  <si>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</si>
  <si>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</si>
  <si>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</si>
  <si>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</si>
  <si>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</si>
  <si>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</si>
  <si>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</si>
  <si>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</si>
  <si>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</si>
  <si>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</si>
  <si>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</si>
  <si>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</si>
  <si>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</si>
  <si>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</si>
  <si>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</si>
  <si>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</si>
  <si>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</si>
  <si>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</si>
  <si>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</si>
  <si>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</si>
  <si>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</si>
  <si>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</si>
  <si>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</si>
  <si>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</si>
  <si>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</si>
  <si>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</si>
  <si>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</si>
  <si>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</si>
  <si>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</si>
  <si>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</si>
  <si>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</si>
  <si>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</si>
  <si>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</si>
  <si>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</si>
  <si>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</si>
  <si>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</si>
  <si>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</si>
  <si>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</si>
  <si>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</si>
  <si>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</si>
  <si>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</si>
  <si>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</si>
  <si>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</si>
  <si>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</si>
  <si>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</si>
  <si>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</si>
  <si>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</si>
  <si>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</si>
  <si>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</si>
  <si>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</si>
  <si>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</si>
  <si>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</si>
  <si>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</si>
  <si>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</si>
  <si>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</si>
  <si>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</si>
  <si>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</si>
  <si>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</si>
  <si>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</si>
  <si>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</si>
  <si>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</si>
  <si>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</si>
  <si>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</si>
  <si>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</si>
  <si>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</si>
  <si>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</si>
  <si>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</si>
  <si>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</si>
  <si>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</si>
  <si>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</si>
  <si>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</si>
  <si>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</si>
  <si>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</si>
  <si>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</si>
  <si>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</si>
  <si>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</si>
  <si>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</si>
  <si>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</si>
  <si>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</si>
  <si>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</si>
  <si>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</si>
  <si>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</si>
  <si>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</si>
  <si>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</si>
  <si>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</si>
  <si>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</si>
  <si>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</si>
  <si>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</si>
  <si>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</si>
  <si>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</si>
  <si>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</si>
  <si>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</si>
  <si>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</si>
  <si>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</si>
  <si>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</si>
  <si>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</si>
  <si>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</si>
  <si>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</si>
  <si>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</si>
  <si>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</si>
  <si>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</si>
  <si>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</si>
  <si>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</si>
  <si>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</si>
  <si>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</si>
  <si>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</si>
  <si>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</si>
  <si>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</si>
  <si>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</si>
  <si>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</si>
  <si>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</si>
  <si>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</si>
  <si>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</si>
  <si>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</si>
  <si>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</si>
  <si>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</si>
  <si>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</si>
  <si>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</si>
  <si>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</si>
  <si>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</si>
  <si>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</si>
  <si>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</si>
  <si>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</si>
  <si>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</si>
  <si>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</si>
  <si>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</si>
  <si>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</si>
  <si>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</si>
  <si>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</si>
  <si>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</si>
  <si>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</si>
  <si>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</si>
  <si>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</si>
  <si>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</si>
  <si>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</si>
  <si>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</si>
  <si>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</si>
  <si>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</si>
  <si>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</si>
  <si>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</si>
  <si>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</si>
  <si>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</si>
  <si>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</si>
  <si>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</si>
  <si>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</si>
  <si>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</si>
  <si>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</si>
  <si>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</si>
  <si>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</si>
  <si>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</si>
  <si>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</si>
  <si>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</si>
  <si>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</si>
  <si>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</si>
  <si>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</si>
  <si>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</si>
  <si>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</si>
  <si>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</si>
  <si>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</si>
  <si>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</si>
  <si>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</si>
  <si>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</si>
  <si>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</si>
  <si>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</si>
  <si>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</si>
  <si>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</si>
  <si>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</si>
  <si>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</si>
  <si>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</si>
  <si>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</si>
  <si>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</si>
  <si>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</si>
  <si>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</si>
  <si>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</si>
  <si>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</si>
  <si>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</si>
  <si>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</si>
  <si>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</si>
  <si>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</si>
  <si>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</si>
  <si>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</si>
  <si>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</si>
  <si>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</si>
  <si>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</si>
  <si>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</si>
  <si>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</si>
  <si>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</si>
  <si>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</si>
  <si>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</si>
  <si>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</si>
  <si>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</si>
  <si>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</si>
  <si>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</si>
  <si>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</si>
  <si>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</si>
  <si>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</si>
  <si>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</si>
  <si>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</si>
  <si>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</si>
  <si>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</si>
  <si>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</si>
  <si>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</si>
  <si>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</si>
  <si>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</si>
  <si>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</si>
  <si>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</si>
  <si>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</si>
  <si>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</si>
  <si>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</si>
  <si>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</si>
  <si>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</si>
  <si>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</si>
  <si>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</si>
  <si>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</si>
  <si>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</si>
  <si>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</si>
  <si>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</si>
  <si>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</si>
  <si>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</si>
  <si>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</si>
  <si>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</si>
  <si>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</si>
  <si>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</si>
  <si>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</si>
  <si>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</si>
  <si>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</si>
  <si>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</si>
  <si>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</si>
  <si>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</si>
  <si>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</si>
  <si>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</si>
  <si>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</si>
  <si>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</si>
  <si>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</si>
  <si>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</si>
  <si>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</si>
  <si>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</si>
  <si>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</si>
  <si>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</si>
  <si>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</si>
  <si>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</si>
  <si>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</si>
  <si>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</si>
  <si>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</si>
  <si>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</si>
  <si>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</si>
  <si>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</si>
  <si>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</si>
  <si>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</si>
  <si>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</si>
  <si>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</si>
  <si>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</si>
  <si>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</si>
  <si>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</si>
  <si>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</si>
  <si>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</si>
  <si>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</si>
  <si>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</si>
  <si>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</si>
  <si>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</si>
  <si>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</si>
  <si>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</si>
  <si>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</si>
  <si>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</si>
  <si>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</si>
  <si>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</si>
  <si>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</si>
  <si>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</si>
  <si>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</si>
  <si>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</si>
  <si>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</si>
  <si>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</si>
  <si>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</si>
  <si>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</si>
  <si>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</si>
  <si>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</si>
  <si>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</si>
  <si>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</si>
  <si>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</si>
  <si>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</si>
  <si>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</si>
  <si>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</si>
  <si>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</si>
  <si>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</si>
  <si>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</si>
  <si>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</si>
  <si>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</si>
  <si>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</si>
  <si>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</si>
  <si>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</si>
  <si>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</si>
  <si>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</si>
  <si>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</si>
  <si>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</si>
  <si>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</si>
  <si>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</si>
  <si>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</si>
  <si>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</si>
  <si>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</si>
  <si>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</si>
  <si>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</si>
  <si>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</si>
  <si>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</si>
  <si>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</si>
  <si>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</si>
  <si>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</si>
  <si>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</si>
  <si>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</si>
  <si>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</si>
  <si>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</si>
  <si>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</si>
  <si>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</si>
  <si>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</si>
  <si>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</si>
  <si>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</si>
  <si>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</si>
  <si>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</si>
  <si>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</si>
  <si>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</si>
  <si>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</si>
  <si>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</si>
  <si>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</si>
  <si>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</si>
  <si>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</si>
  <si>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</si>
  <si>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</si>
  <si>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</si>
  <si>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</si>
  <si>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</si>
  <si>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</si>
  <si>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</si>
  <si>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</si>
  <si>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</si>
  <si>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</si>
  <si>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</si>
  <si>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</si>
  <si>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</si>
  <si>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</si>
  <si>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</si>
  <si>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</si>
  <si>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</si>
  <si>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</si>
  <si>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</si>
  <si>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</si>
  <si>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</si>
  <si>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</si>
  <si>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</si>
  <si>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</si>
  <si>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</si>
  <si>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</si>
  <si>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</si>
  <si>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</si>
  <si>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</si>
  <si>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</si>
  <si>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</si>
  <si>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</si>
  <si>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</si>
  <si>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</si>
  <si>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</si>
  <si>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</si>
  <si>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</si>
  <si>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</si>
  <si>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</si>
  <si>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</si>
  <si>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</si>
  <si>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</si>
  <si>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</si>
  <si>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</si>
  <si>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</si>
  <si>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</si>
  <si>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</si>
  <si>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</si>
  <si>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</si>
  <si>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</si>
  <si>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</si>
  <si>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</si>
  <si>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</si>
  <si>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</si>
  <si>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</si>
  <si>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</si>
  <si>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</si>
  <si>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</si>
  <si>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</si>
  <si>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</si>
  <si>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</si>
  <si>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</si>
  <si>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</si>
  <si>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</si>
  <si>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</si>
  <si>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</si>
  <si>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</si>
  <si>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</si>
  <si>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</si>
  <si>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</si>
  <si>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</si>
  <si>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</si>
  <si>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</si>
  <si>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</si>
  <si>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</si>
  <si>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</si>
  <si>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</si>
  <si>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</si>
  <si>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</si>
  <si>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</si>
  <si>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</si>
  <si>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</si>
  <si>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</si>
  <si>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</si>
  <si>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</si>
  <si>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</si>
  <si>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</si>
  <si>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</si>
  <si>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</si>
  <si>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</si>
  <si>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</si>
  <si>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</si>
  <si>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</si>
  <si>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</si>
  <si>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</si>
  <si>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</si>
  <si>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</si>
  <si>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</si>
  <si>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</si>
  <si>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</si>
  <si>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</si>
  <si>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</si>
  <si>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</si>
  <si>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</si>
  <si>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</si>
  <si>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</si>
  <si>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</si>
  <si>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</si>
  <si>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</si>
  <si>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</si>
  <si>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</si>
  <si>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</si>
  <si>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</si>
  <si>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</si>
  <si>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</si>
  <si>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</si>
  <si>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</si>
  <si>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</si>
  <si>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</si>
  <si>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</si>
  <si>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</si>
  <si>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</si>
  <si>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</si>
  <si>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</si>
  <si>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</si>
  <si>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</si>
  <si>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</si>
  <si>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</si>
  <si>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</si>
  <si>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</si>
  <si>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</si>
  <si>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</si>
  <si>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</si>
  <si>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</si>
  <si>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</si>
  <si>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</si>
  <si>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</si>
  <si>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</si>
  <si>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</si>
  <si>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</si>
  <si>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</si>
  <si>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</si>
  <si>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</si>
  <si>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</si>
  <si>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</si>
  <si>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</si>
  <si>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</si>
  <si>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</si>
  <si>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</si>
  <si>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</si>
  <si>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</si>
  <si>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</si>
  <si>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</si>
  <si>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</si>
  <si>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</si>
  <si>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</si>
  <si>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</si>
  <si>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</si>
  <si>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</si>
  <si>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</si>
  <si>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</si>
  <si>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</si>
  <si>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</si>
  <si>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</si>
  <si>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</si>
  <si>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</si>
  <si>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</si>
  <si>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</si>
  <si>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</si>
  <si>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</si>
  <si>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</si>
  <si>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</si>
  <si>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</si>
  <si>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</si>
  <si>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</si>
  <si>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</si>
  <si>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</si>
  <si>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</si>
  <si>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</si>
  <si>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</si>
  <si>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</si>
  <si>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</si>
  <si>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</si>
  <si>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</si>
  <si>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</si>
  <si>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</si>
  <si>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</si>
  <si>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</si>
  <si>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</si>
  <si>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</si>
  <si>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</si>
  <si>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</si>
  <si>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</si>
  <si>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</si>
  <si>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</si>
  <si>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</si>
  <si>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</si>
  <si>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</si>
  <si>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</si>
  <si>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</si>
  <si>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</si>
  <si>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</si>
  <si>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</si>
  <si>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</si>
  <si>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</si>
  <si>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</si>
  <si>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</si>
  <si>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</si>
  <si>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</si>
  <si>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</si>
  <si>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</si>
  <si>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</si>
  <si>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</si>
  <si>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</si>
  <si>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</si>
  <si>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</si>
  <si>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</si>
  <si>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</si>
  <si>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</si>
  <si>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</si>
  <si>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</si>
  <si>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</si>
  <si>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</si>
  <si>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</si>
  <si>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</si>
  <si>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</si>
  <si>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</si>
  <si>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</si>
  <si>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</si>
  <si>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</si>
  <si>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</si>
  <si>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</si>
  <si>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</si>
  <si>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</si>
  <si>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</si>
  <si>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</si>
  <si>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</si>
  <si>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</si>
  <si>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</si>
  <si>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</si>
  <si>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</si>
  <si>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</si>
  <si>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</si>
  <si>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</si>
  <si>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</si>
  <si>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</si>
  <si>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</si>
  <si>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</si>
  <si>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</si>
  <si>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</si>
  <si>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</si>
  <si>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</si>
  <si>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</si>
  <si>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</si>
  <si>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</si>
  <si>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</si>
  <si>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</si>
  <si>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</si>
  <si>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</si>
  <si>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</si>
  <si>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</si>
  <si>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</si>
  <si>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</si>
  <si>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</si>
  <si>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</si>
  <si>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</si>
  <si>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</si>
  <si>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</si>
  <si>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</si>
  <si>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</si>
  <si>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</si>
  <si>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</si>
  <si>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</si>
  <si>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</si>
  <si>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</si>
  <si>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</si>
  <si>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</si>
  <si>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</si>
  <si>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</si>
  <si>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</si>
  <si>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</si>
  <si>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</si>
  <si>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</si>
  <si>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</si>
  <si>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</si>
  <si>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</si>
  <si>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</si>
  <si>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</si>
  <si>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</si>
  <si>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</si>
  <si>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</si>
  <si>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</si>
  <si>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</si>
  <si>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</si>
  <si>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</si>
  <si>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</si>
  <si>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</si>
  <si>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</si>
  <si>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</si>
  <si>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</si>
  <si>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</si>
  <si>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</si>
  <si>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</si>
  <si>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</si>
  <si>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</si>
  <si>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</si>
  <si>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</si>
  <si>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</si>
  <si>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</si>
  <si>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</si>
  <si>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</si>
  <si>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</si>
  <si>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</si>
  <si>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</si>
  <si>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</si>
  <si>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</si>
  <si>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</si>
  <si>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</si>
  <si>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</si>
  <si>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</si>
  <si>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</si>
  <si>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</si>
  <si>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</si>
  <si>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</si>
  <si>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</si>
  <si>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</si>
  <si>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</si>
  <si>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</si>
  <si>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</si>
  <si>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</si>
  <si>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</si>
  <si>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</si>
  <si>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</si>
  <si>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</si>
  <si>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</si>
  <si>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</si>
  <si>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</si>
  <si>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</si>
  <si>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</si>
  <si>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</si>
  <si>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</si>
  <si>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</si>
  <si>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</si>
  <si>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</si>
  <si>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</si>
  <si>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</si>
  <si>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</si>
  <si>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</si>
  <si>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</si>
  <si>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</si>
  <si>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</si>
  <si>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</si>
  <si>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</si>
  <si>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</si>
  <si>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</si>
  <si>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</si>
  <si>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</si>
  <si>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</si>
  <si>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</si>
  <si>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</si>
  <si>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</si>
  <si>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</si>
  <si>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</si>
  <si>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</si>
  <si>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</si>
  <si>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</si>
  <si>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</si>
  <si>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</si>
  <si>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</si>
  <si>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</si>
  <si>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</si>
  <si>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</si>
  <si>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</si>
  <si>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</si>
  <si>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</si>
  <si>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</si>
  <si>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</si>
  <si>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</si>
  <si>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</si>
  <si>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</si>
  <si>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</si>
  <si>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</si>
  <si>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</si>
  <si>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</si>
  <si>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</si>
  <si>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</si>
  <si>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</si>
  <si>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</si>
  <si>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</si>
  <si>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</si>
  <si>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</si>
  <si>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</si>
  <si>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</si>
  <si>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</si>
  <si>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</si>
  <si>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</si>
  <si>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</si>
  <si>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</si>
  <si>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</si>
  <si>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</si>
  <si>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</si>
  <si>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</si>
  <si>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</si>
  <si>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</si>
  <si>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</si>
  <si>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</si>
  <si>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</si>
  <si>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</si>
  <si>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</si>
  <si>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</si>
  <si>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</si>
  <si>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</si>
  <si>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</si>
  <si>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</si>
  <si>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</si>
  <si>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</si>
  <si>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</si>
  <si>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</si>
  <si>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</si>
  <si>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</si>
  <si>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</si>
  <si>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</si>
  <si>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</si>
  <si>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</si>
  <si>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</si>
  <si>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</si>
  <si>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</si>
  <si>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</si>
  <si>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</si>
  <si>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</si>
  <si>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</si>
  <si>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</si>
  <si>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</si>
  <si>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</si>
  <si>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</si>
  <si>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</si>
  <si>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</si>
  <si>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</si>
  <si>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</si>
  <si>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</si>
  <si>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</si>
  <si>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</si>
  <si>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</si>
  <si>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</si>
  <si>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</si>
  <si>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</si>
  <si>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</si>
  <si>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</si>
  <si>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</si>
  <si>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</si>
  <si>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</si>
  <si>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</si>
  <si>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</si>
  <si>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</si>
  <si>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</si>
  <si>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</si>
  <si>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</si>
  <si>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</si>
  <si>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</si>
  <si>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</si>
  <si>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</si>
  <si>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</si>
  <si>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</si>
  <si>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</si>
  <si>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</si>
  <si>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</si>
  <si>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</si>
  <si>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</si>
  <si>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</si>
  <si>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</si>
  <si>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</si>
  <si>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</si>
  <si>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</si>
  <si>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</si>
  <si>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</si>
  <si>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</si>
  <si>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</si>
  <si>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</si>
  <si>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</si>
  <si>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</si>
  <si>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</si>
  <si>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</si>
  <si>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</si>
  <si>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</si>
  <si>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</si>
  <si>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</si>
  <si>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</si>
  <si>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</si>
  <si>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</si>
  <si>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</si>
  <si>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</si>
  <si>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</si>
  <si>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</si>
  <si>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</si>
  <si>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</si>
  <si>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</si>
  <si>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</si>
  <si>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</si>
  <si>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</si>
  <si>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</si>
  <si>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</si>
  <si>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</si>
  <si>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</si>
  <si>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</si>
  <si>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</si>
  <si>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</si>
  <si>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</si>
  <si>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</si>
  <si>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</si>
  <si>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</si>
  <si>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</si>
  <si>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</si>
  <si>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</si>
  <si>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</si>
  <si>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</si>
  <si>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</si>
  <si>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</si>
  <si>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</si>
  <si>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</si>
  <si>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</si>
  <si>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</si>
  <si>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</si>
  <si>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</si>
  <si>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</si>
  <si>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</si>
  <si>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</si>
  <si>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</si>
  <si>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</si>
  <si>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</si>
  <si>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</si>
  <si>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</si>
  <si>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</si>
  <si>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</si>
  <si>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</si>
  <si>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</si>
  <si>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</si>
  <si>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</si>
  <si>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</si>
  <si>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</si>
  <si>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</si>
  <si>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</si>
  <si>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</si>
  <si>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</si>
  <si>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</si>
  <si>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</si>
  <si>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</si>
  <si>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</si>
  <si>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</si>
  <si>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</si>
  <si>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</si>
  <si>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</si>
  <si>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</si>
  <si>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</si>
  <si>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</si>
  <si>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</si>
  <si>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</si>
  <si>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</si>
  <si>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</si>
  <si>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</si>
  <si>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</si>
  <si>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</si>
  <si>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</si>
  <si>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</si>
  <si>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</si>
  <si>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</si>
  <si>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</si>
  <si>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</si>
  <si>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</si>
  <si>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</si>
  <si>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</si>
  <si>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</si>
  <si>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</si>
  <si>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</si>
  <si>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</si>
  <si>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</si>
  <si>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</si>
  <si>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</si>
  <si>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</si>
  <si>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</si>
  <si>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</si>
  <si>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</si>
  <si>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</si>
  <si>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</si>
  <si>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</si>
  <si>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</si>
  <si>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</si>
  <si>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</si>
  <si>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</si>
  <si>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</si>
  <si>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</si>
  <si>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</si>
  <si>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</si>
  <si>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</si>
  <si>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</si>
  <si>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</si>
  <si>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</si>
  <si>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</si>
  <si>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</si>
  <si>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</si>
  <si>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</si>
  <si>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</si>
  <si>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</si>
  <si>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</si>
  <si>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</si>
  <si>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</si>
  <si>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</si>
  <si>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</si>
  <si>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</si>
  <si>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</si>
  <si>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</si>
  <si>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</si>
  <si>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</si>
  <si>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</si>
  <si>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</si>
  <si>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</si>
  <si>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</si>
  <si>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</si>
  <si>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</si>
  <si>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</si>
  <si>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</si>
  <si>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</si>
  <si>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</si>
  <si>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</si>
  <si>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</si>
  <si>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</si>
  <si>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</si>
  <si>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</si>
  <si>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</si>
  <si>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</si>
  <si>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</si>
  <si>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</si>
  <si>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</si>
  <si>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</si>
  <si>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</si>
  <si>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</si>
  <si>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</si>
  <si>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</si>
  <si>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</si>
  <si>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</si>
  <si>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</si>
  <si>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</si>
  <si>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</si>
  <si>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</si>
  <si>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</si>
  <si>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</si>
  <si>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</si>
  <si>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</si>
  <si>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</si>
  <si>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</si>
  <si>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</si>
  <si>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</si>
  <si>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</si>
  <si>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</si>
  <si>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</si>
  <si>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</si>
  <si>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</si>
  <si>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</si>
  <si>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</si>
  <si>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</si>
  <si>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</si>
  <si>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</si>
  <si>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</si>
  <si>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</si>
  <si>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</si>
  <si>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</si>
  <si>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</si>
  <si>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</si>
  <si>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</si>
  <si>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</si>
  <si>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</si>
  <si>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</si>
  <si>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</si>
  <si>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</si>
  <si>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</si>
  <si>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</si>
  <si>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</si>
  <si>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</si>
  <si>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</si>
  <si>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</si>
  <si>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</si>
  <si>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</si>
  <si>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</si>
  <si>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</si>
  <si>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</si>
  <si>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</si>
  <si>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</si>
  <si>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</si>
  <si>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</si>
  <si>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</si>
  <si>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</si>
  <si>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</si>
  <si>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</si>
  <si>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</si>
  <si>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</si>
  <si>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</si>
  <si>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</si>
  <si>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</si>
  <si>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</si>
  <si>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</si>
  <si>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</si>
  <si>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</si>
  <si>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</si>
  <si>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</si>
  <si>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</si>
  <si>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</si>
  <si>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</si>
  <si>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</si>
  <si>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</si>
  <si>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</si>
  <si>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</si>
  <si>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</si>
  <si>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</si>
  <si>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</si>
  <si>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</si>
  <si>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</si>
  <si>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</si>
  <si>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</si>
  <si>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</si>
  <si>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</si>
  <si>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</si>
  <si>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</si>
  <si>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</si>
  <si>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</si>
  <si>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</si>
  <si>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</si>
  <si>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</si>
  <si>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</si>
  <si>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</si>
  <si>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</si>
  <si>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</si>
  <si>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</si>
  <si>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</si>
  <si>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</si>
  <si>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</si>
  <si>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</si>
  <si>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</si>
  <si>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</si>
  <si>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</si>
  <si>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</si>
  <si>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</si>
  <si>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</si>
  <si>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</si>
  <si>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</si>
  <si>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</si>
  <si>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</si>
  <si>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</si>
  <si>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</si>
  <si>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</si>
  <si>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</si>
  <si>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</si>
  <si>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</si>
  <si>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</si>
  <si>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</si>
  <si>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</si>
  <si>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</si>
  <si>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</si>
  <si>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</si>
  <si>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</si>
  <si>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</si>
  <si>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</si>
  <si>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</si>
  <si>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</si>
  <si>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</si>
  <si>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</si>
  <si>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</si>
  <si>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</si>
  <si>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</si>
  <si>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</si>
  <si>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</si>
  <si>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</si>
  <si>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</si>
  <si>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</si>
  <si>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</si>
  <si>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</si>
  <si>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</si>
  <si>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</si>
  <si>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</si>
  <si>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</si>
  <si>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</si>
  <si>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</si>
  <si>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</si>
  <si>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</si>
  <si>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</si>
  <si>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</si>
  <si>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</si>
  <si>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</si>
  <si>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</si>
  <si>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</si>
  <si>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</si>
  <si>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</si>
  <si>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</si>
  <si>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</si>
  <si>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</si>
  <si>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</si>
  <si>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</si>
  <si>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</si>
  <si>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</si>
  <si>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</si>
  <si>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za period od 01.01. do 31.12. 2024. godine</t>
  </si>
  <si>
    <t>71000 SARAJEVO, ul. Danijela Ozme 1</t>
  </si>
  <si>
    <t>033 550 120</t>
  </si>
  <si>
    <t>info@safeinvestment.ba</t>
  </si>
  <si>
    <t>www.safeinvestment.ba</t>
  </si>
  <si>
    <t>DA</t>
  </si>
  <si>
    <t>Društvo za upravljanje fondovima SAFE INVESTMENT d.o.o. SARAJEVO</t>
  </si>
  <si>
    <t>OLJA MUJAGIĆ, direktor; AHMED ALJUKIĆ. izvršni direktor</t>
  </si>
  <si>
    <t>jedan</t>
  </si>
  <si>
    <t xml:space="preserve">ALMA AGIĆ, predsjednik; MUHAMED BEKTO, član; NIJAZ SALAMOVIĆ, član </t>
  </si>
  <si>
    <t xml:space="preserve">  na dan 31.12.2024. godine</t>
  </si>
  <si>
    <t>DUF SAFE INVESTMENT d.o.o. Sarajevo</t>
  </si>
  <si>
    <t>Danijela Ozme 1, SARAJEVO</t>
  </si>
  <si>
    <t>4203333590002</t>
  </si>
  <si>
    <t>65-01-0415-24</t>
  </si>
  <si>
    <t>Sarajevo, 10.04.2025</t>
  </si>
  <si>
    <t>Olja Mujagić</t>
  </si>
  <si>
    <t>Esmir Krnić</t>
  </si>
  <si>
    <t>Od 01.01. do 31.12.
tekuće godine</t>
  </si>
  <si>
    <t>za period od 01.01. do 31.12.2024. godine</t>
  </si>
  <si>
    <t>Od 01.01. do 31.12.
prethodne godine</t>
  </si>
  <si>
    <t xml:space="preserve"> za period od 01.01. do 31.12.2024. godine</t>
  </si>
  <si>
    <t>za period koji završava na dan 31.12.2024. godine</t>
  </si>
  <si>
    <t>1. Stanje na kraju perioda na dan 31.12.2022. godine</t>
  </si>
  <si>
    <t>13. Stanje na kraju perioda na dan 31.12.2023. godine (904+907+908-909-910+911+912)</t>
  </si>
  <si>
    <t>4. Ponovo iskazano stanje na početku perioda 01.01.2023. godine (901+902+903)</t>
  </si>
  <si>
    <t>16. Ponovo iskazano stanje na početku perioda 01.01.2024. godine (913+914+915)</t>
  </si>
  <si>
    <t>25. Stanje na kraju perioda na dan 31.12.2024. godine  (916+919+920-921-922+923+924)</t>
  </si>
  <si>
    <t xml:space="preserve">HIMZO SMAJIĆ, predsjednik; SAKIB ORMAN, član; JASMINA KADRIĆ , član </t>
  </si>
  <si>
    <t>MUNIB ELKAZOVIĆ, 100% udjela</t>
  </si>
  <si>
    <t>22.04.2024. (Dnevni red: 1. Odluka o imenovanju Nadzornog odbora Društva); 25.06.2024. (Dnevni red: 1. Odluka o promjeni sjedišta Društva. 2. Odluka o izmjeni statuta Društva); 30.09.2024. (Dnevni red: 1. Donošenje odluke o izboru Odbora za reviziju; 2.Donošenje odluke o utvrđivanju osnovnih elemenata ugovora sa članovima Odbora za reviziju Društva, 3. Donošenje odluke o imenovanju vanjskog revizora Društva za 2024. godinu)</t>
  </si>
  <si>
    <t>Upis osnovnog kapitala (osnivanje Društva) 200.000 KM</t>
  </si>
  <si>
    <t xml:space="preserve">Sarajevo, 22.04.2024. godine; Sarajevo, 25.06.2024. godine, Sarajevo, 30.09.2024. godine  </t>
  </si>
  <si>
    <t>Odluka o imenovanju Nadzornog odbora Društva, Odluka o promjeni sjedišta Društva, Odluka o izmjeni statuta Društva, Odluka o izboru Odbora za reviziju, Odluka o utvrđivanju osnovnih elemenata ugovora sa članovima Odbora za reviziju Društva, Odluka o imenovanju vanjskog revizora Društva za 2024. godinu.</t>
  </si>
  <si>
    <t>66.30 Djelatnost upravljanja fondovima</t>
  </si>
  <si>
    <t>Društvo za raviziju i usluge ZUKO d.o.o. Sarajevo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</si>
</sst>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70" fontId="3" fillId="0" borderId="0"/>
    <xf numFmtId="43" fontId="2" fillId="0" borderId="0"/>
    <xf numFmtId="164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84" fillId="0" borderId="9" xfId="14" applyBorder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left" vertical="center" wrapText="1"/>
    </xf>
    <xf numFmtId="0" fontId="75" fillId="0" borderId="9" xfId="10" applyFont="1" applyBorder="1" applyAlignment="1">
      <alignment horizontal="left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afeinvestment.ba/" TargetMode="External"/><Relationship Id="rId1" Type="http://schemas.openxmlformats.org/officeDocument/2006/relationships/hyperlink" Target="mailto:info@safeinvestmen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33203125" defaultRowHeight="14.4"/>
  <cols>
    <col min="1" max="1" width="22.88671875" style="1" bestFit="1" customWidth="1"/>
    <col min="2" max="3" width="14.5546875" style="1" bestFit="1" customWidth="1"/>
    <col min="4" max="4" width="22.88671875" style="1" bestFit="1" customWidth="1"/>
    <col min="5" max="5" width="12.88671875" style="1" bestFit="1" customWidth="1"/>
    <col min="6" max="6" width="32.6640625" style="1" bestFit="1" customWidth="1"/>
    <col min="7" max="7" width="13.5546875" style="1" bestFit="1" customWidth="1"/>
    <col min="8" max="8" width="7.109375" style="1" bestFit="1" customWidth="1"/>
    <col min="9" max="9" width="16.109375" style="1" bestFit="1" customWidth="1"/>
    <col min="10" max="10" width="203.109375" style="1" bestFit="1" customWidth="1"/>
    <col min="11" max="11" width="91.5546875" style="1" bestFit="1" customWidth="1"/>
    <col min="12" max="13" width="22.88671875" style="1" bestFit="1" customWidth="1"/>
    <col min="14" max="14" width="14.33203125" style="1" bestFit="1" customWidth="1"/>
    <col min="15" max="15" width="12.88671875" style="1" bestFit="1" customWidth="1"/>
    <col min="16" max="16" width="32.6640625" style="1" bestFit="1" customWidth="1"/>
    <col min="17" max="17" width="14.33203125" style="1" bestFit="1" customWidth="1"/>
    <col min="18" max="18" width="50.5546875" style="1" bestFit="1" customWidth="1"/>
    <col min="19" max="19" width="16.109375" style="1" bestFit="1" customWidth="1"/>
    <col min="20" max="20" width="9.88671875" style="1" bestFit="1" customWidth="1"/>
    <col min="21" max="21" width="7.109375" style="1" bestFit="1" customWidth="1"/>
    <col min="22" max="22" width="39.109375" style="1" bestFit="1" customWidth="1"/>
    <col min="23" max="23" width="39.109375" style="1" hidden="1" customWidth="1"/>
    <col min="24" max="24" width="43.6640625" style="1" bestFit="1" customWidth="1"/>
    <col min="25" max="25" width="16" style="1" bestFit="1" customWidth="1"/>
    <col min="26" max="26" width="27.6640625" style="1" hidden="1" customWidth="1"/>
    <col min="27" max="27" width="53" style="15" bestFit="1" customWidth="1"/>
    <col min="28" max="28" width="15.6640625" style="16" bestFit="1" customWidth="1"/>
    <col min="29" max="29" width="20.6640625" style="1" bestFit="1" customWidth="1"/>
    <col min="30" max="30" width="10.88671875" style="6" bestFit="1" customWidth="1"/>
    <col min="31" max="31" width="94.88671875" style="6" bestFit="1" customWidth="1"/>
    <col min="32" max="32" width="21" style="7" bestFit="1" customWidth="1"/>
    <col min="33" max="33" width="32.6640625" style="1" bestFit="1" customWidth="1"/>
    <col min="34" max="34" width="13.109375" style="1" bestFit="1" customWidth="1"/>
    <col min="35" max="35" width="14.88671875" style="1" bestFit="1" customWidth="1"/>
    <col min="36" max="36" width="11.5546875" style="1" customWidth="1"/>
    <col min="37" max="37" width="22.88671875" style="1" bestFit="1" customWidth="1"/>
    <col min="38" max="38" width="14.5546875" style="8" bestFit="1" customWidth="1"/>
    <col min="39" max="39" width="32.6640625" style="1" bestFit="1" customWidth="1"/>
    <col min="40" max="40" width="12.88671875" style="1" bestFit="1" customWidth="1"/>
    <col min="41" max="41" width="36" style="1" bestFit="1" customWidth="1"/>
    <col min="42" max="42" width="9.33203125" style="1" customWidth="1"/>
    <col min="43" max="43" width="10.109375" style="1" bestFit="1" customWidth="1"/>
    <col min="44" max="44" width="9.33203125" style="1" customWidth="1"/>
    <col min="45" max="16384" width="9.332031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8671875" defaultRowHeight="14.4"/>
  <cols>
    <col min="1" max="1" width="94.88671875" style="17" bestFit="1" customWidth="1"/>
    <col min="2" max="2" width="66.109375" style="18" bestFit="1" customWidth="1"/>
    <col min="3" max="3" width="37.44140625" style="19" customWidth="1"/>
    <col min="4" max="4" width="36.6640625" style="19" customWidth="1"/>
    <col min="5" max="5" width="47" style="19" customWidth="1"/>
    <col min="6" max="1018" width="8.88671875" style="19" customWidth="1"/>
    <col min="1019" max="1019" width="8.88671875" style="17" customWidth="1"/>
    <col min="1020" max="16384" width="8.88671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tabSelected="1" view="pageLayout" topLeftCell="B37" zoomScale="80" zoomScaleNormal="100" zoomScalePageLayoutView="80" workbookViewId="0">
      <selection activeCell="Q48" sqref="Q48"/>
    </sheetView>
  </sheetViews>
  <sheetFormatPr defaultColWidth="2.5546875" defaultRowHeight="15"/>
  <cols>
    <col min="1" max="1" width="5.109375" style="85" hidden="1" customWidth="1"/>
    <col min="2" max="2" width="1.6640625" style="85" customWidth="1"/>
    <col min="3" max="3" width="12.6640625" style="86" bestFit="1" customWidth="1"/>
    <col min="4" max="4" width="3" style="86" customWidth="1"/>
    <col min="5" max="5" width="2.5546875" style="86" customWidth="1"/>
    <col min="6" max="6" width="9.109375" style="86" bestFit="1" customWidth="1"/>
    <col min="7" max="17" width="2.5546875" style="86" customWidth="1"/>
    <col min="18" max="18" width="12.88671875" style="86" customWidth="1"/>
    <col min="19" max="21" width="2.5546875" style="86" customWidth="1"/>
    <col min="22" max="22" width="3" style="86" customWidth="1"/>
    <col min="23" max="31" width="2.5546875" style="86" customWidth="1"/>
    <col min="32" max="32" width="2.6640625" style="86" customWidth="1"/>
    <col min="33" max="33" width="3.88671875" style="86" customWidth="1"/>
    <col min="34" max="34" width="4.44140625" style="86" customWidth="1"/>
    <col min="35" max="35" width="1" style="86" customWidth="1"/>
    <col min="36" max="36" width="3.88671875" style="86" customWidth="1"/>
    <col min="37" max="38" width="2.5546875" style="86" customWidth="1"/>
    <col min="39" max="41" width="2.5546875" style="86"/>
    <col min="42" max="42" width="1.88671875" style="86" customWidth="1"/>
    <col min="43" max="43" width="1.5546875" style="86" customWidth="1"/>
    <col min="44" max="44" width="4.5546875" style="86" customWidth="1"/>
    <col min="45" max="16384" width="2.5546875" style="86"/>
  </cols>
  <sheetData>
    <row r="1" spans="1:920" s="81" customFormat="1" ht="15" customHeight="1">
      <c r="C1" s="297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2549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2548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2591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2550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299" t="s">
        <v>2551</v>
      </c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299"/>
      <c r="P9" s="299"/>
      <c r="Q9" s="299"/>
      <c r="R9" s="299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291"/>
      <c r="AP9" s="291"/>
      <c r="AQ9" s="291"/>
    </row>
    <row r="10" spans="1:920" s="88" customFormat="1">
      <c r="A10" s="77"/>
      <c r="B10" s="77"/>
      <c r="C10" s="300" t="s">
        <v>2552</v>
      </c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</row>
    <row r="11" spans="1:920" s="88" customFormat="1" ht="33" customHeight="1">
      <c r="A11" s="77"/>
      <c r="B11" s="77"/>
      <c r="C11" s="293" t="s">
        <v>2553</v>
      </c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2" t="s">
        <v>2597</v>
      </c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  <c r="AH11" s="292"/>
      <c r="AI11" s="292"/>
      <c r="AJ11" s="292"/>
      <c r="AK11" s="292"/>
      <c r="AL11" s="292"/>
      <c r="AM11" s="292"/>
      <c r="AN11" s="292"/>
      <c r="AO11" s="292"/>
      <c r="AP11" s="292"/>
      <c r="AQ11" s="292"/>
    </row>
    <row r="12" spans="1:920" s="88" customFormat="1">
      <c r="A12" s="77"/>
      <c r="B12" s="77"/>
      <c r="C12" s="293" t="s">
        <v>2554</v>
      </c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1" t="s">
        <v>2592</v>
      </c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</row>
    <row r="13" spans="1:920" s="88" customFormat="1">
      <c r="A13" s="77"/>
      <c r="B13" s="77"/>
      <c r="C13" s="293" t="s">
        <v>2555</v>
      </c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1" t="s">
        <v>2593</v>
      </c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</row>
    <row r="14" spans="1:920" s="88" customFormat="1">
      <c r="A14" s="77"/>
      <c r="B14" s="77"/>
      <c r="C14" s="293" t="s">
        <v>2556</v>
      </c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0" t="s">
        <v>2594</v>
      </c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</row>
    <row r="15" spans="1:920" s="88" customFormat="1">
      <c r="A15" s="77"/>
      <c r="B15" s="77"/>
      <c r="C15" s="293" t="s">
        <v>2557</v>
      </c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0" t="s">
        <v>2595</v>
      </c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</row>
    <row r="16" spans="1:920" s="88" customFormat="1">
      <c r="A16" s="77"/>
      <c r="B16" s="77"/>
      <c r="C16" s="293" t="s">
        <v>2558</v>
      </c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1" t="s">
        <v>2625</v>
      </c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</row>
    <row r="17" spans="1:43" s="88" customFormat="1">
      <c r="A17" s="77"/>
      <c r="B17" s="77"/>
      <c r="C17" s="293" t="s">
        <v>2559</v>
      </c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1">
        <v>4</v>
      </c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</row>
    <row r="18" spans="1:43" s="88" customFormat="1">
      <c r="A18" s="77"/>
      <c r="B18" s="77"/>
      <c r="C18" s="293" t="s">
        <v>2560</v>
      </c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1" t="s">
        <v>138</v>
      </c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</row>
    <row r="19" spans="1:43" s="88" customFormat="1">
      <c r="A19" s="77"/>
      <c r="B19" s="77"/>
      <c r="C19" s="293" t="s">
        <v>2561</v>
      </c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1" t="s">
        <v>2626</v>
      </c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</row>
    <row r="20" spans="1:43" s="88" customFormat="1" ht="35.25" customHeight="1">
      <c r="A20" s="77"/>
      <c r="B20" s="77"/>
      <c r="C20" s="293" t="s">
        <v>2562</v>
      </c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1" t="s">
        <v>2596</v>
      </c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</row>
    <row r="21" spans="1:43" s="88" customFormat="1" ht="28.8" customHeight="1">
      <c r="A21" s="77"/>
      <c r="B21" s="77"/>
      <c r="C21" s="293" t="s">
        <v>2563</v>
      </c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2" t="s">
        <v>2600</v>
      </c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</row>
    <row r="22" spans="1:43" s="88" customFormat="1">
      <c r="A22" s="77"/>
      <c r="B22" s="77"/>
      <c r="C22" s="294" t="s">
        <v>2564</v>
      </c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291"/>
      <c r="AP22" s="291"/>
      <c r="AQ22" s="291"/>
    </row>
    <row r="23" spans="1:43" s="88" customFormat="1" ht="32.4" customHeight="1">
      <c r="A23" s="77"/>
      <c r="B23" s="77"/>
      <c r="C23" s="293" t="s">
        <v>2565</v>
      </c>
      <c r="D23" s="293"/>
      <c r="E23" s="293"/>
      <c r="F23" s="293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301" t="s">
        <v>2619</v>
      </c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02"/>
      <c r="AK23" s="302"/>
      <c r="AL23" s="302"/>
      <c r="AM23" s="302"/>
      <c r="AN23" s="302"/>
      <c r="AO23" s="302"/>
      <c r="AP23" s="302"/>
      <c r="AQ23" s="303"/>
    </row>
    <row r="24" spans="1:43" s="88" customFormat="1">
      <c r="A24" s="77"/>
      <c r="B24" s="77"/>
      <c r="C24" s="293" t="s">
        <v>2566</v>
      </c>
      <c r="D24" s="293"/>
      <c r="E24" s="293"/>
      <c r="F24" s="293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1" t="s">
        <v>2598</v>
      </c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</row>
    <row r="25" spans="1:43" s="88" customFormat="1" ht="67.5" customHeight="1">
      <c r="A25" s="77"/>
      <c r="B25" s="77"/>
      <c r="C25" s="293" t="s">
        <v>2567</v>
      </c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1" t="s">
        <v>138</v>
      </c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</row>
    <row r="26" spans="1:43" s="88" customFormat="1">
      <c r="A26" s="77"/>
      <c r="B26" s="77"/>
      <c r="C26" s="294" t="s">
        <v>2568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</row>
    <row r="27" spans="1:43" s="88" customFormat="1">
      <c r="A27" s="77"/>
      <c r="B27" s="77"/>
      <c r="C27" s="293" t="s">
        <v>2569</v>
      </c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1" t="s">
        <v>2599</v>
      </c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</row>
    <row r="28" spans="1:43" s="88" customFormat="1" ht="35.25" customHeight="1">
      <c r="A28" s="77"/>
      <c r="B28" s="77"/>
      <c r="C28" s="293" t="s">
        <v>2570</v>
      </c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1" t="s">
        <v>138</v>
      </c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</row>
    <row r="29" spans="1:43" s="88" customFormat="1" ht="50.25" customHeight="1">
      <c r="A29" s="77"/>
      <c r="B29" s="77"/>
      <c r="C29" s="293" t="s">
        <v>2571</v>
      </c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1" t="s">
        <v>2620</v>
      </c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</row>
    <row r="30" spans="1:43" s="88" customFormat="1">
      <c r="A30" s="77"/>
      <c r="B30" s="77"/>
      <c r="C30" s="294" t="s">
        <v>2572</v>
      </c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1"/>
      <c r="T30" s="291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  <c r="AG30" s="291"/>
      <c r="AH30" s="291"/>
      <c r="AI30" s="291"/>
      <c r="AJ30" s="291"/>
      <c r="AK30" s="291"/>
      <c r="AL30" s="291"/>
      <c r="AM30" s="291"/>
      <c r="AN30" s="291"/>
      <c r="AO30" s="291"/>
      <c r="AP30" s="291"/>
      <c r="AQ30" s="291"/>
    </row>
    <row r="31" spans="1:43" s="88" customFormat="1" ht="49.5" customHeight="1">
      <c r="A31" s="77"/>
      <c r="B31" s="77"/>
      <c r="C31" s="293" t="s">
        <v>2573</v>
      </c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  <c r="AH31" s="291"/>
      <c r="AI31" s="291"/>
      <c r="AJ31" s="291"/>
      <c r="AK31" s="291"/>
      <c r="AL31" s="291"/>
      <c r="AM31" s="291"/>
      <c r="AN31" s="291"/>
      <c r="AO31" s="291"/>
      <c r="AP31" s="291"/>
      <c r="AQ31" s="291"/>
    </row>
    <row r="32" spans="1:43" s="88" customFormat="1" ht="33.75" customHeight="1">
      <c r="A32" s="77"/>
      <c r="B32" s="77"/>
      <c r="C32" s="294" t="s">
        <v>2582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1"/>
      <c r="AK32" s="291"/>
      <c r="AL32" s="291"/>
      <c r="AM32" s="291"/>
      <c r="AN32" s="291"/>
      <c r="AO32" s="291"/>
      <c r="AP32" s="291"/>
      <c r="AQ32" s="291"/>
    </row>
    <row r="33" spans="1:43" s="88" customFormat="1" ht="34.200000000000003" customHeight="1">
      <c r="A33" s="77"/>
      <c r="B33" s="77"/>
      <c r="C33" s="293" t="s">
        <v>2574</v>
      </c>
      <c r="D33" s="293"/>
      <c r="E33" s="293"/>
      <c r="F33" s="293"/>
      <c r="G33" s="293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 t="s">
        <v>2623</v>
      </c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</row>
    <row r="34" spans="1:43" s="88" customFormat="1" ht="112.8" customHeight="1">
      <c r="A34" s="77"/>
      <c r="B34" s="77"/>
      <c r="C34" s="293" t="s">
        <v>2583</v>
      </c>
      <c r="D34" s="293"/>
      <c r="E34" s="293"/>
      <c r="F34" s="293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 t="s">
        <v>2621</v>
      </c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3"/>
      <c r="AH34" s="293"/>
      <c r="AI34" s="293"/>
      <c r="AJ34" s="293"/>
      <c r="AK34" s="293"/>
      <c r="AL34" s="293"/>
      <c r="AM34" s="293"/>
      <c r="AN34" s="293"/>
      <c r="AO34" s="293"/>
      <c r="AP34" s="293"/>
      <c r="AQ34" s="293"/>
    </row>
    <row r="35" spans="1:43" s="88" customFormat="1" ht="85.8" customHeight="1">
      <c r="A35" s="77"/>
      <c r="B35" s="77"/>
      <c r="C35" s="293" t="s">
        <v>2575</v>
      </c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 t="s">
        <v>2624</v>
      </c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  <c r="AH35" s="293"/>
      <c r="AI35" s="293"/>
      <c r="AJ35" s="293"/>
      <c r="AK35" s="293"/>
      <c r="AL35" s="293"/>
      <c r="AM35" s="293"/>
      <c r="AN35" s="293"/>
      <c r="AO35" s="293"/>
      <c r="AP35" s="293"/>
      <c r="AQ35" s="293"/>
    </row>
    <row r="36" spans="1:43" s="88" customFormat="1">
      <c r="A36" s="77"/>
      <c r="B36" s="77"/>
      <c r="C36" s="294" t="s">
        <v>2576</v>
      </c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</row>
    <row r="37" spans="1:43" s="88" customFormat="1">
      <c r="A37" s="77"/>
      <c r="B37" s="77"/>
      <c r="C37" s="293" t="s">
        <v>2577</v>
      </c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1" t="s">
        <v>138</v>
      </c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  <c r="AH37" s="291"/>
      <c r="AI37" s="291"/>
      <c r="AJ37" s="291"/>
      <c r="AK37" s="291"/>
      <c r="AL37" s="291"/>
      <c r="AM37" s="291"/>
      <c r="AN37" s="291"/>
      <c r="AO37" s="291"/>
      <c r="AP37" s="291"/>
      <c r="AQ37" s="291"/>
    </row>
    <row r="38" spans="1:43" s="88" customFormat="1" ht="51.75" customHeight="1">
      <c r="A38" s="77"/>
      <c r="B38" s="77"/>
      <c r="C38" s="293" t="s">
        <v>2578</v>
      </c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1" t="s">
        <v>2622</v>
      </c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</row>
    <row r="39" spans="1:43" s="88" customFormat="1" ht="51" customHeight="1">
      <c r="A39" s="77"/>
      <c r="B39" s="77"/>
      <c r="C39" s="293" t="s">
        <v>2579</v>
      </c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1" t="s">
        <v>138</v>
      </c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291"/>
      <c r="AI39" s="291"/>
      <c r="AJ39" s="291"/>
      <c r="AK39" s="291"/>
      <c r="AL39" s="291"/>
      <c r="AM39" s="291"/>
      <c r="AN39" s="291"/>
      <c r="AO39" s="291"/>
      <c r="AP39" s="291"/>
      <c r="AQ39" s="291"/>
    </row>
    <row r="40" spans="1:43" s="88" customFormat="1" ht="49.5" customHeight="1">
      <c r="A40" s="77"/>
      <c r="B40" s="77"/>
      <c r="C40" s="293" t="s">
        <v>2580</v>
      </c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  <c r="AH40" s="291"/>
      <c r="AI40" s="291"/>
      <c r="AJ40" s="291"/>
      <c r="AK40" s="291"/>
      <c r="AL40" s="291"/>
      <c r="AM40" s="291"/>
      <c r="AN40" s="291"/>
      <c r="AO40" s="291"/>
      <c r="AP40" s="291"/>
      <c r="AQ40" s="291"/>
    </row>
    <row r="41" spans="1:43" s="88" customFormat="1" ht="49.5" customHeight="1">
      <c r="A41" s="77"/>
      <c r="B41" s="77"/>
      <c r="C41" s="293" t="s">
        <v>2581</v>
      </c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1"/>
      <c r="AK41" s="291"/>
      <c r="AL41" s="291"/>
      <c r="AM41" s="291"/>
      <c r="AN41" s="291"/>
      <c r="AO41" s="291"/>
      <c r="AP41" s="291"/>
      <c r="AQ41" s="291"/>
    </row>
    <row r="42" spans="1:43" ht="21" customHeight="1">
      <c r="B42" s="77" t="str">
        <f>IF(ISERROR(ABS(LOG(ABS(SUM(B9:B41)),EXP(3)))),"",ABS(LOG(ABS(SUM(B9:B41)),EXP(3))))</f>
        <v/>
      </c>
    </row>
    <row r="43" spans="1:43" ht="11.4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6" t="s">
        <v>2149</v>
      </c>
      <c r="D44" s="296"/>
      <c r="E44" s="296"/>
      <c r="F44" s="296"/>
      <c r="G44" s="296"/>
      <c r="H44" s="296"/>
      <c r="I44" s="296"/>
      <c r="J44" s="296"/>
      <c r="K44" s="296"/>
      <c r="L44" s="296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78" t="s">
        <v>2606</v>
      </c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2607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2588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 t="s">
        <v>2608</v>
      </c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AJ50" s="95"/>
      <c r="AK50" s="96"/>
    </row>
    <row r="51" spans="3:37" ht="72.75" customHeight="1">
      <c r="AJ51" s="95"/>
      <c r="AK51" s="96"/>
    </row>
    <row r="52" spans="3:37" ht="20.399999999999999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C10:C41 C42:AH44 C45 G45:AH45 S9:S41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5AEAE38F-4152-4F2D-A103-3796D6CD368A}"/>
    <hyperlink ref="S15" r:id="rId2" xr:uid="{A1279E42-075C-4907-B06D-3E96DEDC745E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view="pageLayout" topLeftCell="E137" zoomScaleNormal="100" workbookViewId="0">
      <selection activeCell="I152" sqref="I152"/>
    </sheetView>
  </sheetViews>
  <sheetFormatPr defaultColWidth="7.5546875" defaultRowHeight="13.8"/>
  <cols>
    <col min="1" max="2" width="7.5546875" style="45" hidden="1" customWidth="1"/>
    <col min="3" max="3" width="11" style="45" hidden="1" customWidth="1"/>
    <col min="4" max="4" width="7.5546875" style="45" hidden="1" customWidth="1"/>
    <col min="5" max="5" width="7.6640625" style="53" customWidth="1"/>
    <col min="6" max="6" width="75.33203125" style="52" customWidth="1"/>
    <col min="7" max="8" width="8" style="52" customWidth="1"/>
    <col min="9" max="9" width="19.33203125" style="38" customWidth="1"/>
    <col min="10" max="10" width="23.6640625" style="37" customWidth="1"/>
    <col min="11" max="919" width="7.5546875" style="37" customWidth="1"/>
    <col min="920" max="920" width="7.5546875" style="46" customWidth="1"/>
    <col min="921" max="16384" width="7.5546875" style="46"/>
  </cols>
  <sheetData>
    <row r="1" spans="1:919" s="36" customFormat="1" ht="15" customHeight="1">
      <c r="A1" s="39"/>
      <c r="B1" s="39"/>
      <c r="C1" s="39"/>
      <c r="D1" s="39"/>
      <c r="E1" s="305" t="s">
        <v>2602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2603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1676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2604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2605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2544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2601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15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2589</v>
      </c>
      <c r="J16" s="196" t="s">
        <v>2590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52.552000000000007</v>
      </c>
      <c r="D19" s="45" t="str">
        <f>IF(LEN(J19)=0,"",1+ABS((J19*B19)/LEN(J19))+B19)</f>
        <v/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12883</v>
      </c>
      <c r="J19" s="194" t="str">
        <f>IFERROR(IF(AND(J20,J27,J32,J33,J43,J44,J45,J46,J47,J48,J51,J56,J57)="","",SUM(J20,J27,J32,J33,J43,J44,J45,J46,J47,J48,J51,J56,J57)),"")</f>
        <v/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63.19</v>
      </c>
      <c r="D20" s="45" t="str">
        <f t="shared" si="0"/>
        <v/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8288</v>
      </c>
      <c r="J20" s="111" t="str">
        <f t="array" ref="J20">IF(AND(ISBLANK(J21:J26)),"",SUM(J21:J26))</f>
        <v/>
      </c>
    </row>
    <row r="21" spans="1:919" ht="12.75" customHeight="1">
      <c r="A21" s="45">
        <v>0.04</v>
      </c>
      <c r="B21" s="45">
        <v>1.28</v>
      </c>
      <c r="C21" s="45" t="str">
        <f t="shared" si="0"/>
        <v/>
      </c>
      <c r="D21" s="45" t="str">
        <f t="shared" si="0"/>
        <v/>
      </c>
      <c r="E21" s="183" t="s">
        <v>1983</v>
      </c>
      <c r="F21" s="189" t="s">
        <v>1984</v>
      </c>
      <c r="G21" s="188"/>
      <c r="H21" s="185" t="s">
        <v>57</v>
      </c>
      <c r="I21" s="112"/>
      <c r="J21" s="112"/>
    </row>
    <row r="22" spans="1:919" ht="12.75" customHeight="1">
      <c r="A22" s="45">
        <v>0.05</v>
      </c>
      <c r="B22" s="45">
        <v>1.29</v>
      </c>
      <c r="C22" s="45" t="str">
        <f t="shared" si="0"/>
        <v/>
      </c>
      <c r="D22" s="45" t="str">
        <f t="shared" si="0"/>
        <v/>
      </c>
      <c r="E22" s="183" t="s">
        <v>1985</v>
      </c>
      <c r="F22" s="189" t="s">
        <v>1986</v>
      </c>
      <c r="G22" s="188"/>
      <c r="H22" s="185" t="s">
        <v>1987</v>
      </c>
      <c r="I22" s="112"/>
      <c r="J22" s="112"/>
    </row>
    <row r="23" spans="1:919" ht="12.75" customHeight="1">
      <c r="A23" s="45">
        <v>0.06</v>
      </c>
      <c r="B23" s="45">
        <v>1.3</v>
      </c>
      <c r="C23" s="45">
        <f t="shared" si="0"/>
        <v>125.38</v>
      </c>
      <c r="D23" s="45" t="str">
        <f t="shared" si="0"/>
        <v/>
      </c>
      <c r="E23" s="183" t="s">
        <v>1988</v>
      </c>
      <c r="F23" s="189" t="s">
        <v>1989</v>
      </c>
      <c r="G23" s="188"/>
      <c r="H23" s="185" t="s">
        <v>1990</v>
      </c>
      <c r="I23" s="112">
        <v>8288</v>
      </c>
      <c r="J23" s="112"/>
    </row>
    <row r="24" spans="1:919" ht="12.75" customHeight="1">
      <c r="A24" s="45">
        <v>7.0000000000000007E-2</v>
      </c>
      <c r="B24" s="45">
        <v>1.31</v>
      </c>
      <c r="C24" s="45" t="str">
        <f t="shared" si="0"/>
        <v/>
      </c>
      <c r="D24" s="45" t="str">
        <f t="shared" si="0"/>
        <v/>
      </c>
      <c r="E24" s="183" t="s">
        <v>1991</v>
      </c>
      <c r="F24" s="189" t="s">
        <v>1992</v>
      </c>
      <c r="G24" s="188"/>
      <c r="H24" s="185" t="s">
        <v>1993</v>
      </c>
      <c r="I24" s="112"/>
      <c r="J24" s="112"/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 t="str">
        <f t="shared" si="0"/>
        <v/>
      </c>
      <c r="D26" s="45" t="str">
        <f t="shared" si="0"/>
        <v/>
      </c>
      <c r="E26" s="183" t="s">
        <v>1997</v>
      </c>
      <c r="F26" s="189" t="s">
        <v>1998</v>
      </c>
      <c r="G26" s="188"/>
      <c r="H26" s="185" t="s">
        <v>76</v>
      </c>
      <c r="I26" s="112"/>
      <c r="J26" s="112"/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>
      <c r="A33" s="45">
        <v>0.16</v>
      </c>
      <c r="B33" s="45">
        <v>1.4</v>
      </c>
      <c r="C33" s="45">
        <f t="shared" si="0"/>
        <v>130.96</v>
      </c>
      <c r="D33" s="45" t="str">
        <f t="shared" si="0"/>
        <v/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3245</v>
      </c>
      <c r="J33" s="111" t="str">
        <f t="array" ref="J33">IF(AND(ISBLANK(J34:J37)),"",SUM(J34:J37))</f>
        <v/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>
        <f t="shared" si="0"/>
        <v>147.20500000000001</v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>
        <v>3245</v>
      </c>
      <c r="J35" s="113"/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3" t="s">
        <v>2019</v>
      </c>
      <c r="F36" s="190" t="s">
        <v>2020</v>
      </c>
      <c r="G36" s="191"/>
      <c r="H36" s="185" t="s">
        <v>156</v>
      </c>
      <c r="I36" s="112"/>
      <c r="J36" s="113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2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15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 t="str">
        <f t="shared" si="1"/>
        <v/>
      </c>
      <c r="D51" s="45" t="str">
        <f t="shared" si="1"/>
        <v/>
      </c>
      <c r="E51" s="183" t="s">
        <v>2043</v>
      </c>
      <c r="F51" s="188" t="s">
        <v>2044</v>
      </c>
      <c r="G51" s="185"/>
      <c r="H51" s="185" t="s">
        <v>604</v>
      </c>
      <c r="I51" s="111" t="str">
        <f t="array" ref="I51">IF(AND(ISBLANK(I52:I55)),"",SUM(I52:I55))</f>
        <v/>
      </c>
      <c r="J51" s="111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143.16999999999999</v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>
        <v>1350</v>
      </c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17564.993333333332</v>
      </c>
      <c r="D59" s="45" t="str">
        <f t="shared" si="1"/>
        <v/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239503</v>
      </c>
      <c r="J59" s="194" t="str">
        <f>IFERROR(IF(AND(J60,J66,J67,J68,J72,J77,J78,J83,J84,J85,J86)="","",SUM(J60,J66,J67,J68,J72,J77,J78,J83,J84,J85,J86)),"")</f>
        <v/>
      </c>
    </row>
    <row r="60" spans="1:10" ht="13.5" customHeight="1">
      <c r="A60" s="45">
        <v>0.45</v>
      </c>
      <c r="B60" s="45">
        <v>1.62</v>
      </c>
      <c r="C60" s="45" t="str">
        <f t="shared" si="1"/>
        <v/>
      </c>
      <c r="D60" s="45" t="str">
        <f t="shared" si="1"/>
        <v/>
      </c>
      <c r="E60" s="183" t="s">
        <v>1980</v>
      </c>
      <c r="F60" s="192" t="s">
        <v>2063</v>
      </c>
      <c r="G60" s="185"/>
      <c r="H60" s="185" t="s">
        <v>370</v>
      </c>
      <c r="I60" s="111" t="str">
        <f t="array" ref="I60">IF(AND(ISBLANK(I61:I65)),"",SUM(I61:I65))</f>
        <v/>
      </c>
      <c r="J60" s="111" t="str">
        <f t="array" ref="J60">IF(AND(ISBLANK(J61:J65)),"",SUM(J61:J65))</f>
        <v/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3" t="s">
        <v>1983</v>
      </c>
      <c r="F61" s="189" t="s">
        <v>2064</v>
      </c>
      <c r="G61" s="185"/>
      <c r="H61" s="185" t="s">
        <v>378</v>
      </c>
      <c r="I61" s="112"/>
      <c r="J61" s="112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 t="str">
        <f t="shared" ref="C65:D78" si="2">IF(LEN(I65)=0,"",1+ABS((I65*A65)/LEN(I65))+A65)</f>
        <v/>
      </c>
      <c r="D65" s="45" t="str">
        <f t="shared" si="2"/>
        <v/>
      </c>
      <c r="E65" s="183" t="s">
        <v>1994</v>
      </c>
      <c r="F65" s="189" t="s">
        <v>2069</v>
      </c>
      <c r="G65" s="185"/>
      <c r="H65" s="185" t="s">
        <v>408</v>
      </c>
      <c r="I65" s="112"/>
      <c r="J65" s="112"/>
    </row>
    <row r="66" spans="1:10" ht="13.5" customHeight="1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>
      <c r="A68" s="45">
        <v>0.53</v>
      </c>
      <c r="B68" s="45">
        <v>1.7</v>
      </c>
      <c r="C68" s="45">
        <f t="shared" si="2"/>
        <v>5804.8180000000002</v>
      </c>
      <c r="D68" s="45" t="str">
        <f t="shared" si="2"/>
        <v/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54748</v>
      </c>
      <c r="J68" s="111" t="str">
        <f t="array" ref="J68">IF(AND(ISBLANK(J69:J71)),"",SUM(J69:J71))</f>
        <v/>
      </c>
    </row>
    <row r="69" spans="1:10" ht="13.5" customHeight="1">
      <c r="A69" s="45">
        <v>0.54</v>
      </c>
      <c r="B69" s="45">
        <v>1.71</v>
      </c>
      <c r="C69" s="45">
        <f t="shared" si="2"/>
        <v>5914.3240000000005</v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>
        <v>54748</v>
      </c>
      <c r="J69" s="112"/>
    </row>
    <row r="70" spans="1:10" ht="13.5" customHeight="1">
      <c r="A70" s="45">
        <v>0.55000000000000004</v>
      </c>
      <c r="B70" s="45">
        <v>1.72</v>
      </c>
      <c r="C70" s="45" t="str">
        <f t="shared" si="2"/>
        <v/>
      </c>
      <c r="D70" s="45" t="str">
        <f t="shared" si="2"/>
        <v/>
      </c>
      <c r="E70" s="183" t="s">
        <v>2017</v>
      </c>
      <c r="F70" s="189" t="s">
        <v>2075</v>
      </c>
      <c r="G70" s="185"/>
      <c r="H70" s="185" t="s">
        <v>437</v>
      </c>
      <c r="I70" s="112"/>
      <c r="J70" s="112"/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15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20016.775000000001</v>
      </c>
      <c r="D84" s="45" t="str">
        <f t="shared" si="3"/>
        <v/>
      </c>
      <c r="E84" s="183" t="s">
        <v>2034</v>
      </c>
      <c r="F84" s="188" t="s">
        <v>2086</v>
      </c>
      <c r="G84" s="185"/>
      <c r="H84" s="185" t="s">
        <v>473</v>
      </c>
      <c r="I84" s="112">
        <v>184755</v>
      </c>
      <c r="J84" s="112"/>
    </row>
    <row r="85" spans="1:919" ht="13.5" customHeight="1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>
      <c r="A86" s="45">
        <v>0.67</v>
      </c>
      <c r="B86" s="45">
        <v>1.84</v>
      </c>
      <c r="C86" s="45" t="str">
        <f t="shared" si="3"/>
        <v/>
      </c>
      <c r="D86" s="45" t="str">
        <f t="shared" si="3"/>
        <v/>
      </c>
      <c r="E86" s="183" t="s">
        <v>2043</v>
      </c>
      <c r="F86" s="192" t="s">
        <v>2089</v>
      </c>
      <c r="G86" s="185"/>
      <c r="H86" s="185" t="s">
        <v>478</v>
      </c>
      <c r="I86" s="112"/>
      <c r="J86" s="112"/>
    </row>
    <row r="87" spans="1:919" ht="13.5" customHeight="1">
      <c r="A87" s="45">
        <v>0.68</v>
      </c>
      <c r="B87" s="45">
        <v>1.85</v>
      </c>
      <c r="C87" s="45">
        <f t="shared" si="3"/>
        <v>28605.42666666667</v>
      </c>
      <c r="D87" s="45" t="str">
        <f t="shared" si="3"/>
        <v/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252386</v>
      </c>
      <c r="J87" s="194" t="str">
        <f>IFERROR(IF(AND(J19,J58,J59)="","",SUM(J19,J58,J59)),"")</f>
        <v/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>
      <c r="A89" s="45">
        <v>0.7</v>
      </c>
      <c r="B89" s="45">
        <v>1.87</v>
      </c>
      <c r="C89" s="45">
        <f t="shared" si="3"/>
        <v>29446.73333333333</v>
      </c>
      <c r="D89" s="45" t="str">
        <f t="shared" si="3"/>
        <v/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252386</v>
      </c>
      <c r="J89" s="194" t="str">
        <f>IFERROR(IF(AND(J87,J88)="","",SUM(J87,J88)),"")</f>
        <v/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24335.063333333332</v>
      </c>
      <c r="D92" s="45" t="str">
        <f t="shared" si="3"/>
        <v/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200000</v>
      </c>
      <c r="J92" s="111" t="str">
        <f t="array" ref="J92">IF(AND(ISBLANK(J93:J97)),"",(SUM(J93)-SUM(J94)+SUM(J95:J97)))</f>
        <v/>
      </c>
    </row>
    <row r="93" spans="1:919" ht="13.5" customHeight="1">
      <c r="A93" s="45">
        <v>0.74</v>
      </c>
      <c r="B93" s="45">
        <v>1.91</v>
      </c>
      <c r="C93" s="45" t="str">
        <f t="shared" si="3"/>
        <v/>
      </c>
      <c r="D93" s="45" t="str">
        <f t="shared" si="3"/>
        <v/>
      </c>
      <c r="E93" s="183" t="s">
        <v>1983</v>
      </c>
      <c r="F93" s="189" t="s">
        <v>2100</v>
      </c>
      <c r="G93" s="185"/>
      <c r="H93" s="185">
        <v>102</v>
      </c>
      <c r="I93" s="112"/>
      <c r="J93" s="112"/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>
        <f t="shared" si="3"/>
        <v>25335.093333333331</v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>
        <v>200000</v>
      </c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 t="str">
        <f t="shared" ref="C99:D118" si="4">IF(LEN(I99)=0,"",1+ABS((I99*A99)/LEN(I99))+A99)</f>
        <v/>
      </c>
      <c r="D99" s="45" t="str">
        <f t="shared" si="4"/>
        <v/>
      </c>
      <c r="E99" s="183" t="s">
        <v>2009</v>
      </c>
      <c r="F99" s="192" t="s">
        <v>2106</v>
      </c>
      <c r="G99" s="185"/>
      <c r="H99" s="185">
        <v>108</v>
      </c>
      <c r="I99" s="111" t="str">
        <f t="array" ref="I99">IF(AND(ISBLANK(I100:I101)),"",SUM(I100:I101))</f>
        <v/>
      </c>
      <c r="J99" s="111" t="str">
        <f t="array" ref="J99">IF(AND(ISBLANK(J100:J101)),"",SUM(J100:J101))</f>
        <v/>
      </c>
    </row>
    <row r="100" spans="1:10" ht="13.5" customHeight="1">
      <c r="A100" s="45">
        <v>0.81</v>
      </c>
      <c r="B100" s="45">
        <v>1.98</v>
      </c>
      <c r="C100" s="45" t="str">
        <f t="shared" si="4"/>
        <v/>
      </c>
      <c r="D100" s="45" t="str">
        <f t="shared" si="4"/>
        <v/>
      </c>
      <c r="E100" s="183" t="s">
        <v>2107</v>
      </c>
      <c r="F100" s="189" t="s">
        <v>2108</v>
      </c>
      <c r="G100" s="185"/>
      <c r="H100" s="185">
        <v>109</v>
      </c>
      <c r="I100" s="112"/>
      <c r="J100" s="112"/>
    </row>
    <row r="101" spans="1:10" ht="13.5" customHeight="1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6.4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>
        <f t="shared" si="4"/>
        <v>5113.2939999999999</v>
      </c>
      <c r="D106" s="45" t="str">
        <f t="shared" si="4"/>
        <v/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29376</v>
      </c>
      <c r="J106" s="111" t="str">
        <f t="array" ref="J106">IF(AND(ISBLANK(J107:J108)),"",SUM(J107:J108))</f>
        <v/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>
      <c r="A108" s="45">
        <v>0.89</v>
      </c>
      <c r="B108" s="45">
        <v>2.06</v>
      </c>
      <c r="C108" s="45">
        <f t="shared" si="4"/>
        <v>5230.8180000000002</v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>
        <v>29376</v>
      </c>
      <c r="J108" s="112"/>
    </row>
    <row r="109" spans="1:10" ht="13.5" customHeight="1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 t="str">
        <f t="array" ref="I109">IF(AND(ISBLANK(I110:I111)),"",SUM(I110:I111))</f>
        <v/>
      </c>
      <c r="J109" s="111" t="str">
        <f t="array" ref="J109">IF(AND(ISBLANK(J110:J111)),"",SUM(J110:J111))</f>
        <v/>
      </c>
    </row>
    <row r="110" spans="1:10" ht="13.5" customHeight="1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/>
      <c r="J111" s="112"/>
    </row>
    <row r="112" spans="1:10" ht="13.5" customHeight="1">
      <c r="A112" s="45">
        <v>0.93</v>
      </c>
      <c r="B112" s="45">
        <v>2.1</v>
      </c>
      <c r="C112" s="45">
        <f t="shared" si="4"/>
        <v>35555.210000000006</v>
      </c>
      <c r="D112" s="45" t="str">
        <f t="shared" si="4"/>
        <v/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229376</v>
      </c>
      <c r="J112" s="194" t="str">
        <f>IFERROR(IF(AND(J92,J98,J99,J102,J106,J109)="","",SUM(J92,J98,J99,J102,J106)-SUM(J109)),"")</f>
        <v/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36319.816666666658</v>
      </c>
      <c r="D114" s="45" t="str">
        <f t="shared" si="4"/>
        <v/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229376</v>
      </c>
      <c r="J114" s="194" t="str">
        <f>IFERROR(IF(AND(J112,J113)="","",SUM(J112,J113)),"")</f>
        <v/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 t="str">
        <f t="shared" si="4"/>
        <v/>
      </c>
      <c r="D116" s="45" t="str">
        <f t="shared" si="4"/>
        <v/>
      </c>
      <c r="E116" s="186" t="s">
        <v>2059</v>
      </c>
      <c r="F116" s="192" t="s">
        <v>2127</v>
      </c>
      <c r="G116" s="185"/>
      <c r="H116" s="179">
        <v>124</v>
      </c>
      <c r="I116" s="194" t="str">
        <f>IFERROR(IF(AND(I117,I126,I127,I128)="","",SUM(I117,I126,I127,I128)),"")</f>
        <v/>
      </c>
      <c r="J116" s="194" t="str">
        <f>IFERROR(IF(AND(J117,J126,J127,J128)="","",SUM(J117,J126,J127,J128)),"")</f>
        <v/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15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4972.2400000000007</v>
      </c>
      <c r="D130" s="45" t="str">
        <f t="shared" si="5"/>
        <v/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23010</v>
      </c>
      <c r="J130" s="194" t="str">
        <f>IFERROR(IF(AND(J131,J138,J139,J140,J141,J142,J143)="","",SUM(J131,J138,J139,J140,J141,J142,J143)),"")</f>
        <v/>
      </c>
    </row>
    <row r="131" spans="1:10" ht="13.5" customHeight="1">
      <c r="A131" s="45">
        <v>1.0900000000000001</v>
      </c>
      <c r="B131" s="45">
        <v>2.25</v>
      </c>
      <c r="C131" s="45">
        <f t="shared" si="6"/>
        <v>1167.845</v>
      </c>
      <c r="D131" s="45" t="str">
        <f t="shared" si="5"/>
        <v/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4278</v>
      </c>
      <c r="J131" s="111" t="str">
        <f t="array" ref="J131">IF(AND(ISBLANK(J132:J137)),"",SUM(J132:J137))</f>
        <v/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1178.55</v>
      </c>
      <c r="D132" s="45" t="str">
        <f t="shared" si="5"/>
        <v/>
      </c>
      <c r="E132" s="183" t="s">
        <v>1983</v>
      </c>
      <c r="F132" s="189" t="s">
        <v>2140</v>
      </c>
      <c r="G132" s="185"/>
      <c r="H132" s="185">
        <v>136</v>
      </c>
      <c r="I132" s="112">
        <v>4278</v>
      </c>
      <c r="J132" s="112"/>
    </row>
    <row r="133" spans="1:10" ht="13.5" customHeight="1">
      <c r="A133" s="45">
        <v>1.1100000000000001</v>
      </c>
      <c r="B133" s="45">
        <v>2.27</v>
      </c>
      <c r="C133" s="45" t="str">
        <f t="shared" si="6"/>
        <v/>
      </c>
      <c r="D133" s="45" t="str">
        <f t="shared" si="5"/>
        <v/>
      </c>
      <c r="E133" s="183" t="s">
        <v>1985</v>
      </c>
      <c r="F133" s="189" t="s">
        <v>2141</v>
      </c>
      <c r="G133" s="185"/>
      <c r="H133" s="185">
        <v>137</v>
      </c>
      <c r="I133" s="112"/>
      <c r="J133" s="112"/>
    </row>
    <row r="134" spans="1:10" ht="13.5" customHeight="1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4535.3539999999994</v>
      </c>
      <c r="D143" s="45" t="str">
        <f t="shared" si="5"/>
        <v/>
      </c>
      <c r="E143" s="183" t="s">
        <v>2029</v>
      </c>
      <c r="F143" s="192" t="s">
        <v>2136</v>
      </c>
      <c r="G143" s="185"/>
      <c r="H143" s="185">
        <v>147</v>
      </c>
      <c r="I143" s="112">
        <v>18732</v>
      </c>
      <c r="J143" s="112"/>
    </row>
    <row r="144" spans="1:10" ht="13.5" customHeight="1">
      <c r="A144" s="45">
        <v>1.22</v>
      </c>
      <c r="B144" s="45">
        <v>2.38</v>
      </c>
      <c r="C144" s="45">
        <f t="shared" si="6"/>
        <v>5616.6600000000008</v>
      </c>
      <c r="D144" s="45" t="str">
        <f t="shared" si="5"/>
        <v/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23010</v>
      </c>
      <c r="J144" s="194" t="str">
        <f>IFERROR(IF(AND(J116,J129,J130)="","",SUM(J116,J129,J130)),"")</f>
        <v/>
      </c>
    </row>
    <row r="145" spans="1:919" ht="13.5" customHeight="1">
      <c r="A145" s="45">
        <v>1.23</v>
      </c>
      <c r="B145" s="45">
        <v>2.39</v>
      </c>
      <c r="C145" s="45">
        <f t="shared" si="6"/>
        <v>51741.36</v>
      </c>
      <c r="D145" s="45" t="str">
        <f t="shared" si="5"/>
        <v/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252386</v>
      </c>
      <c r="J145" s="194" t="str">
        <f>IFERROR(IF(AND(J114,J144)="","",SUM(J114,J144)),"")</f>
        <v/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>
      <c r="A147" s="45">
        <v>1.25</v>
      </c>
      <c r="B147" s="45">
        <v>2.41</v>
      </c>
      <c r="C147" s="45">
        <f t="shared" si="6"/>
        <v>52582.666666666664</v>
      </c>
      <c r="D147" s="45" t="str">
        <f t="shared" si="5"/>
        <v/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252386</v>
      </c>
      <c r="J147" s="194" t="str">
        <f>IFERROR(IF(AND(J145,J146)="","",SUM(J145,J146)),"")</f>
        <v/>
      </c>
    </row>
    <row r="148" spans="1:919">
      <c r="C148" s="45">
        <f>IF(ISERROR(ABS(LOG(ABS(SUM(C19:C147)),EXP(3)))),"",ABS(LOG(ABS(SUM(C19:C147)),EXP(3))))</f>
        <v>4.2661896769900949</v>
      </c>
      <c r="D148" s="45" t="str">
        <f>IF(ISERROR(ABS(LOG(ABS(SUM(D19:D147)),EXP(3)))),"",ABS(LOG(ABS(SUM(D19:D147)),EXP(3))))</f>
        <v/>
      </c>
    </row>
    <row r="149" spans="1:919" s="146" customFormat="1" ht="13.2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9009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/>
      </c>
      <c r="E149" s="156"/>
      <c r="F149" s="115"/>
      <c r="G149" s="157"/>
      <c r="H149" s="115"/>
      <c r="I149" s="195"/>
      <c r="J149" s="158"/>
    </row>
    <row r="150" spans="1:919" s="51" customFormat="1" ht="13.2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3.2">
      <c r="A151" s="49"/>
      <c r="B151" s="49"/>
      <c r="C151" s="49"/>
      <c r="D151" s="49"/>
      <c r="E151" s="304" t="str">
        <f>OP!C45</f>
        <v>Sarajevo, 10.04.2025</v>
      </c>
      <c r="F151" s="304"/>
      <c r="G151" s="159"/>
      <c r="H151" s="115"/>
      <c r="I151" s="160"/>
      <c r="J151" s="275" t="str">
        <f>OP!AJ45</f>
        <v>Olja Mujagić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3.2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149" zoomScaleNormal="100" workbookViewId="0">
      <selection activeCell="I180" sqref="I180"/>
    </sheetView>
  </sheetViews>
  <sheetFormatPr defaultColWidth="7.44140625" defaultRowHeight="13.8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80.33203125" style="52" customWidth="1"/>
    <col min="7" max="7" width="7.88671875" style="52" customWidth="1"/>
    <col min="8" max="8" width="8" style="52" customWidth="1"/>
    <col min="9" max="9" width="18.33203125" style="38" customWidth="1"/>
    <col min="10" max="10" width="18.33203125" style="37" customWidth="1"/>
    <col min="11" max="919" width="7.44140625" style="37" customWidth="1"/>
    <col min="920" max="920" width="7.44140625" style="46" customWidth="1"/>
    <col min="921" max="16384" width="7.44140625" style="46"/>
  </cols>
  <sheetData>
    <row r="1" spans="1:919" s="51" customFormat="1" ht="13.2">
      <c r="A1" s="49"/>
      <c r="B1" s="49"/>
      <c r="C1" s="49"/>
      <c r="D1" s="49"/>
      <c r="E1" s="305" t="str">
        <f>BS!E1</f>
        <v>DUF SAFE INVESTMENT d.o.o. Sarajevo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3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3.2">
      <c r="A3" s="49"/>
      <c r="B3" s="49"/>
      <c r="C3" s="49"/>
      <c r="D3" s="49"/>
      <c r="E3" s="306" t="str">
        <f>BS!E3</f>
        <v>Danijela Ozme 1, SARAJEVO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3.2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66.30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4203333590002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65-01-0415-24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2544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">
      <c r="E12" s="307" t="s">
        <v>2153</v>
      </c>
      <c r="F12" s="307"/>
      <c r="G12" s="307"/>
      <c r="H12" s="307"/>
      <c r="I12" s="307"/>
      <c r="J12" s="307"/>
    </row>
    <row r="13" spans="1:919" ht="15">
      <c r="E13" s="307" t="s">
        <v>2154</v>
      </c>
      <c r="F13" s="307"/>
      <c r="G13" s="307"/>
      <c r="H13" s="307"/>
      <c r="I13" s="307"/>
      <c r="J13" s="307"/>
    </row>
    <row r="14" spans="1:919" ht="15">
      <c r="E14" s="308" t="s">
        <v>2610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2609</v>
      </c>
      <c r="J16" s="196" t="s">
        <v>2611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336.42333333333335</v>
      </c>
      <c r="D19" s="45" t="str">
        <f>IF(LEN(J19)=0,"",1+ABS((J19*B19)/LEN(J19))+B19)</f>
        <v/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201248</v>
      </c>
      <c r="J19" s="194" t="str">
        <f>IFERROR(IF(AND(J20,J24,J28)="","",SUM(J20,J24,J28)),"")</f>
        <v/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671.84666666666669</v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201248</v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/>
      <c r="J22" s="112"/>
    </row>
    <row r="23" spans="1:919" s="37" customFormat="1" ht="14.25" customHeight="1">
      <c r="A23" s="45">
        <v>0.06</v>
      </c>
      <c r="B23" s="45">
        <v>1.57</v>
      </c>
      <c r="C23" s="45">
        <f t="shared" si="0"/>
        <v>2013.5399999999997</v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>
        <v>201248</v>
      </c>
      <c r="J23" s="112"/>
    </row>
    <row r="24" spans="1:919" s="37" customFormat="1" ht="14.25" customHeight="1">
      <c r="A24" s="45">
        <v>7.0000000000000007E-2</v>
      </c>
      <c r="B24" s="45">
        <v>1.58</v>
      </c>
      <c r="C24" s="45" t="str">
        <f t="shared" si="0"/>
        <v/>
      </c>
      <c r="D24" s="45" t="str">
        <f t="shared" si="0"/>
        <v/>
      </c>
      <c r="E24" s="197" t="s">
        <v>1999</v>
      </c>
      <c r="F24" s="200" t="s">
        <v>2161</v>
      </c>
      <c r="G24" s="188"/>
      <c r="H24" s="185">
        <v>206</v>
      </c>
      <c r="I24" s="111" t="str">
        <f t="array" ref="I24">IF(AND(ISBLANK(I25:I27)),"",SUM(I25:I27))</f>
        <v/>
      </c>
      <c r="J24" s="111" t="str">
        <f t="array" ref="J24">IF(AND(ISBLANK(J25:J27)),"",SUM(J25:J27))</f>
        <v/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/>
      <c r="J26" s="112"/>
    </row>
    <row r="27" spans="1:919" s="37" customFormat="1" ht="14.25" customHeight="1">
      <c r="A27" s="45">
        <v>0.1</v>
      </c>
      <c r="B27" s="45">
        <v>1.61</v>
      </c>
      <c r="C27" s="45" t="str">
        <f t="shared" si="0"/>
        <v/>
      </c>
      <c r="D27" s="45" t="str">
        <f t="shared" si="0"/>
        <v/>
      </c>
      <c r="E27" s="197" t="s">
        <v>2005</v>
      </c>
      <c r="F27" s="201" t="s">
        <v>2160</v>
      </c>
      <c r="G27" s="188"/>
      <c r="H27" s="185">
        <v>209</v>
      </c>
      <c r="I27" s="112"/>
      <c r="J27" s="112"/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 t="str">
        <f t="array" ref="I28">IF(AND(ISBLANK(I29:I31)),"",SUM(I29:I31))</f>
        <v/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 t="str">
        <f t="shared" si="0"/>
        <v/>
      </c>
      <c r="D32" s="45" t="str">
        <f t="shared" si="0"/>
        <v/>
      </c>
      <c r="E32" s="198" t="s">
        <v>2059</v>
      </c>
      <c r="F32" s="188" t="s">
        <v>2164</v>
      </c>
      <c r="G32" s="188"/>
      <c r="H32" s="179">
        <v>214</v>
      </c>
      <c r="I32" s="194" t="str">
        <f>IFERROR(IF(AND(I33,I54,I65,I66,I67,I68,I69,I74,I75,I79)="","",SUM(I33,I54,I65,I66,I67,I68,I69,I74,I75,I79)),"")</f>
        <v/>
      </c>
      <c r="J32" s="194" t="str">
        <f>IFERROR(IF(AND(J33,J54,J65,J66,J67,J68,J69,J74,J75,J79)="","",SUM(J33,J54,J65,J66,J67,J68,J69,J74,J75,J79)),"")</f>
        <v/>
      </c>
    </row>
    <row r="33" spans="1:919" s="37" customFormat="1" ht="14.25" customHeight="1">
      <c r="A33" s="45">
        <v>0.17</v>
      </c>
      <c r="B33" s="45">
        <v>1.67</v>
      </c>
      <c r="C33" s="45" t="str">
        <f t="shared" si="0"/>
        <v/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 t="str">
        <f>IFERROR(IF(AND(I34,I41,I42,I43,I44,I45,I46,I47,I48,I49,I50,I51,I52,I53)="","",SUM(I34,I41,I42,I43,I44,I45,I46,I47,I48,I49,I50,I51,I52,I53)),"")</f>
        <v/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 t="str">
        <f t="shared" si="0"/>
        <v/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/>
      <c r="J34" s="112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31.12.
tekuće godine</v>
      </c>
      <c r="J39" s="196" t="str">
        <f>J16</f>
        <v>Od 01.01. do 31.12.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31.12.
tekuće godine</v>
      </c>
      <c r="J72" s="196" t="str">
        <f>J16</f>
        <v>Od 01.01. do 31.12.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 t="str">
        <f>IF(LEN(I75)=0,"",1+ABS((I75*A75)/LEN(I75))+A75)</f>
        <v/>
      </c>
      <c r="D75" s="45" t="str">
        <f>IF(LEN(J75)=0,"",1+ABS((J75*B75)/LEN(J75))+B75)</f>
        <v/>
      </c>
      <c r="E75" s="202" t="s">
        <v>2034</v>
      </c>
      <c r="F75" s="204" t="s">
        <v>2213</v>
      </c>
      <c r="G75" s="204"/>
      <c r="H75" s="205">
        <v>247</v>
      </c>
      <c r="I75" s="111" t="str">
        <f t="array" ref="I75">IF(AND(ISBLANK(I76:I78)),"",SUM(I76:I78))</f>
        <v/>
      </c>
      <c r="J75" s="111" t="str">
        <f t="array" ref="J75">IF(AND(ISBLANK(J76:J78)),"",SUM(J76:J78))</f>
        <v/>
      </c>
    </row>
    <row r="76" spans="1:919" s="37" customFormat="1" ht="13.5" customHeight="1">
      <c r="A76" s="45">
        <v>0.5</v>
      </c>
      <c r="B76" s="45">
        <v>2</v>
      </c>
      <c r="C76" s="45" t="str">
        <f t="shared" ref="C76:D108" si="2">IF(LEN(I76)=0,"",1+ABS((I76*A76)/LEN(I76))+A76)</f>
        <v/>
      </c>
      <c r="D76" s="45" t="str">
        <f t="shared" si="2"/>
        <v/>
      </c>
      <c r="E76" s="202" t="s">
        <v>2214</v>
      </c>
      <c r="F76" s="203" t="s">
        <v>2215</v>
      </c>
      <c r="G76" s="204"/>
      <c r="H76" s="205">
        <v>248</v>
      </c>
      <c r="I76" s="112"/>
      <c r="J76" s="112"/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 t="str">
        <f t="shared" si="2"/>
        <v/>
      </c>
      <c r="D79" s="45" t="str">
        <f t="shared" si="2"/>
        <v/>
      </c>
      <c r="E79" s="202" t="s">
        <v>2037</v>
      </c>
      <c r="F79" s="204" t="s">
        <v>2220</v>
      </c>
      <c r="G79" s="204"/>
      <c r="H79" s="205">
        <v>251</v>
      </c>
      <c r="I79" s="112"/>
      <c r="J79" s="112"/>
    </row>
    <row r="80" spans="1:919" s="37" customFormat="1" ht="13.5" customHeight="1">
      <c r="A80" s="45">
        <v>0.54</v>
      </c>
      <c r="B80" s="45">
        <v>2.04</v>
      </c>
      <c r="C80" s="45">
        <f t="shared" si="2"/>
        <v>18113.860000000004</v>
      </c>
      <c r="D80" s="45" t="str">
        <f t="shared" si="2"/>
        <v/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201248</v>
      </c>
      <c r="J80" s="194" t="str">
        <f>IFERROR(IF(AND(J19,J32)="","",SUM(J19,J32)),"")</f>
        <v/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15756.483333333334</v>
      </c>
      <c r="D81" s="45" t="str">
        <f t="shared" si="2"/>
        <v/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171872</v>
      </c>
      <c r="J81" s="194" t="str">
        <f>IFERROR(IF(AND(J82,J83,J84,J85,J86,J90,J97,J98)="","",SUM(J82,J83,J84,J85,J86,J90,J97,J98)),"")</f>
        <v/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/>
      <c r="J82" s="112"/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93.799999999999983</v>
      </c>
      <c r="D84" s="45" t="str">
        <f t="shared" si="2"/>
        <v/>
      </c>
      <c r="E84" s="202" t="s">
        <v>2009</v>
      </c>
      <c r="F84" s="204" t="s">
        <v>2226</v>
      </c>
      <c r="G84" s="204"/>
      <c r="H84" s="205">
        <v>256</v>
      </c>
      <c r="I84" s="112">
        <v>477</v>
      </c>
      <c r="J84" s="112"/>
    </row>
    <row r="85" spans="1:10" s="37" customFormat="1" ht="13.5" customHeight="1">
      <c r="A85" s="45">
        <v>0.59</v>
      </c>
      <c r="B85" s="45">
        <v>2.09</v>
      </c>
      <c r="C85" s="45">
        <f t="shared" si="2"/>
        <v>265.76249999999999</v>
      </c>
      <c r="D85" s="45" t="str">
        <f t="shared" si="2"/>
        <v/>
      </c>
      <c r="E85" s="202" t="s">
        <v>2012</v>
      </c>
      <c r="F85" s="204" t="s">
        <v>2227</v>
      </c>
      <c r="G85" s="204"/>
      <c r="H85" s="205">
        <v>257</v>
      </c>
      <c r="I85" s="112">
        <v>1791</v>
      </c>
      <c r="J85" s="112"/>
    </row>
    <row r="86" spans="1:10" s="37" customFormat="1" ht="13.5" customHeight="1">
      <c r="A86" s="45">
        <v>0.6</v>
      </c>
      <c r="B86" s="45">
        <v>2.1</v>
      </c>
      <c r="C86" s="45">
        <f t="shared" si="2"/>
        <v>12403.699999999999</v>
      </c>
      <c r="D86" s="45" t="str">
        <f t="shared" si="2"/>
        <v/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124021</v>
      </c>
      <c r="J86" s="111" t="str">
        <f t="array" ref="J86">IF(AND(ISBLANK(J87:J89)),"",SUM(J87:J89))</f>
        <v/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11250.518333333333</v>
      </c>
      <c r="D87" s="45" t="str">
        <f t="shared" si="2"/>
        <v/>
      </c>
      <c r="E87" s="202" t="s">
        <v>2078</v>
      </c>
      <c r="F87" s="203" t="s">
        <v>2229</v>
      </c>
      <c r="G87" s="204"/>
      <c r="H87" s="205">
        <v>259</v>
      </c>
      <c r="I87" s="112">
        <v>110645</v>
      </c>
      <c r="J87" s="112"/>
    </row>
    <row r="88" spans="1:10" s="37" customFormat="1" ht="13.5" customHeight="1">
      <c r="A88" s="45">
        <v>0.62</v>
      </c>
      <c r="B88" s="45">
        <v>2.12</v>
      </c>
      <c r="C88" s="45">
        <f t="shared" si="2"/>
        <v>1416.8319999999999</v>
      </c>
      <c r="D88" s="45" t="str">
        <f t="shared" si="2"/>
        <v/>
      </c>
      <c r="E88" s="202" t="s">
        <v>2079</v>
      </c>
      <c r="F88" s="203" t="s">
        <v>2230</v>
      </c>
      <c r="G88" s="204"/>
      <c r="H88" s="205">
        <v>260</v>
      </c>
      <c r="I88" s="112">
        <v>11413</v>
      </c>
      <c r="J88" s="112"/>
    </row>
    <row r="89" spans="1:10" s="37" customFormat="1" ht="13.5" customHeight="1">
      <c r="A89" s="45">
        <v>0.63</v>
      </c>
      <c r="B89" s="45">
        <v>2.13</v>
      </c>
      <c r="C89" s="45">
        <f t="shared" si="2"/>
        <v>310.80250000000001</v>
      </c>
      <c r="D89" s="45" t="str">
        <f t="shared" si="2"/>
        <v/>
      </c>
      <c r="E89" s="202" t="s">
        <v>2080</v>
      </c>
      <c r="F89" s="203" t="s">
        <v>2231</v>
      </c>
      <c r="G89" s="204"/>
      <c r="H89" s="205">
        <v>261</v>
      </c>
      <c r="I89" s="112">
        <v>1963</v>
      </c>
      <c r="J89" s="112"/>
    </row>
    <row r="90" spans="1:10" s="37" customFormat="1" ht="13.5" customHeight="1">
      <c r="A90" s="45">
        <v>0.64</v>
      </c>
      <c r="B90" s="45">
        <v>2.14</v>
      </c>
      <c r="C90" s="45">
        <f t="shared" si="2"/>
        <v>262.27999999999997</v>
      </c>
      <c r="D90" s="45" t="str">
        <f t="shared" si="2"/>
        <v/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1629</v>
      </c>
      <c r="J90" s="111" t="str">
        <f t="array" ref="J90">IF(AND(ISBLANK(J91:J96)),"",SUM(J91:J96))</f>
        <v/>
      </c>
    </row>
    <row r="91" spans="1:10" s="37" customFormat="1" ht="13.5" customHeight="1">
      <c r="A91" s="45">
        <v>0.65</v>
      </c>
      <c r="B91" s="45">
        <v>2.15</v>
      </c>
      <c r="C91" s="45" t="str">
        <f t="shared" si="2"/>
        <v/>
      </c>
      <c r="D91" s="45" t="str">
        <f t="shared" si="2"/>
        <v/>
      </c>
      <c r="E91" s="202" t="s">
        <v>2119</v>
      </c>
      <c r="F91" s="203" t="s">
        <v>2233</v>
      </c>
      <c r="G91" s="204"/>
      <c r="H91" s="205">
        <v>263</v>
      </c>
      <c r="I91" s="112"/>
      <c r="J91" s="112"/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>
        <f t="shared" si="2"/>
        <v>225.11500000000001</v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>
        <v>1334</v>
      </c>
      <c r="J93" s="112"/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68.546666666666681</v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>
        <v>295</v>
      </c>
      <c r="J94" s="112"/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3640.6019999999999</v>
      </c>
      <c r="D97" s="45" t="str">
        <f t="shared" si="2"/>
        <v/>
      </c>
      <c r="E97" s="202" t="s">
        <v>2029</v>
      </c>
      <c r="F97" s="204" t="s">
        <v>2242</v>
      </c>
      <c r="G97" s="204"/>
      <c r="H97" s="205">
        <v>269</v>
      </c>
      <c r="I97" s="112">
        <v>25626</v>
      </c>
      <c r="J97" s="112"/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2640.9519999999998</v>
      </c>
      <c r="D98" s="45" t="str">
        <f t="shared" si="2"/>
        <v/>
      </c>
      <c r="E98" s="202" t="s">
        <v>2032</v>
      </c>
      <c r="F98" s="204" t="s">
        <v>2243</v>
      </c>
      <c r="G98" s="204"/>
      <c r="H98" s="205">
        <v>270</v>
      </c>
      <c r="I98" s="112">
        <v>18328</v>
      </c>
      <c r="J98" s="112"/>
    </row>
    <row r="99" spans="1:919" s="37" customFormat="1" ht="13.5" customHeight="1">
      <c r="A99" s="45">
        <v>0.73</v>
      </c>
      <c r="B99" s="45">
        <v>2.23</v>
      </c>
      <c r="C99" s="45" t="str">
        <f t="shared" si="2"/>
        <v/>
      </c>
      <c r="D99" s="45" t="str">
        <f t="shared" si="2"/>
        <v/>
      </c>
      <c r="E99" s="206" t="s">
        <v>2092</v>
      </c>
      <c r="F99" s="204" t="s">
        <v>2244</v>
      </c>
      <c r="G99" s="204"/>
      <c r="H99" s="196">
        <v>271</v>
      </c>
      <c r="I99" s="194" t="str">
        <f>IFERROR(IF(AND(I100,I119,I130,I131,I132,I133,I134,I135,I136,I140)="","",SUM(I100,I119,I130,I131,I132,I133,I134,I135,I136,I140)),"")</f>
        <v/>
      </c>
      <c r="J99" s="194" t="str">
        <f>IFERROR(IF(AND(J100,J119,J130,J131,J132,J133,J134,J135,J136,J140)="","",SUM(J100,J119,J130,J131,J132,J133,J134,J135,J136,J140)),"")</f>
        <v/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31.12.
tekuće godine</v>
      </c>
      <c r="J111" s="196" t="str">
        <f>J16</f>
        <v>Od 01.01. do 31.12.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 t="str">
        <f t="shared" si="5"/>
        <v/>
      </c>
      <c r="D136" s="45" t="str">
        <f t="shared" si="5"/>
        <v/>
      </c>
      <c r="E136" s="202" t="s">
        <v>2034</v>
      </c>
      <c r="F136" s="204" t="s">
        <v>2278</v>
      </c>
      <c r="G136" s="204"/>
      <c r="H136" s="205">
        <v>304</v>
      </c>
      <c r="I136" s="111" t="str">
        <f t="array" ref="I136">IF(AND(ISBLANK(I137:I139)),"",SUM(I137:I139))</f>
        <v/>
      </c>
      <c r="J136" s="111" t="str">
        <f t="array" ref="J136">IF(AND(ISBLANK(J137:J139)),"",SUM(J137:J139))</f>
        <v/>
      </c>
    </row>
    <row r="137" spans="1:10" s="37" customFormat="1" ht="13.5" customHeight="1">
      <c r="A137" s="45">
        <v>1.08</v>
      </c>
      <c r="B137" s="45">
        <v>2.5699999999999901</v>
      </c>
      <c r="C137" s="45" t="str">
        <f t="shared" si="5"/>
        <v/>
      </c>
      <c r="D137" s="45" t="str">
        <f t="shared" si="5"/>
        <v/>
      </c>
      <c r="E137" s="202" t="s">
        <v>2214</v>
      </c>
      <c r="F137" s="203" t="s">
        <v>2279</v>
      </c>
      <c r="G137" s="204"/>
      <c r="H137" s="205">
        <v>305</v>
      </c>
      <c r="I137" s="112"/>
      <c r="J137" s="112"/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>
      <c r="A140" s="45">
        <v>1.1100000000000001</v>
      </c>
      <c r="B140" s="45">
        <v>2.6</v>
      </c>
      <c r="C140" s="45" t="str">
        <f t="shared" si="5"/>
        <v/>
      </c>
      <c r="D140" s="45" t="str">
        <f t="shared" si="5"/>
        <v/>
      </c>
      <c r="E140" s="202" t="s">
        <v>2037</v>
      </c>
      <c r="F140" s="204" t="s">
        <v>2282</v>
      </c>
      <c r="G140" s="204"/>
      <c r="H140" s="238">
        <v>308</v>
      </c>
      <c r="I140" s="112"/>
      <c r="J140" s="112"/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32084.893333333333</v>
      </c>
      <c r="D141" s="45" t="str">
        <f t="shared" si="5"/>
        <v/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171872</v>
      </c>
      <c r="J141" s="194" t="str">
        <f>IFERROR(IF(AND(J81,J99)="","",SUM(J81,J99)),"")</f>
        <v/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6641.1059999999998</v>
      </c>
      <c r="D142" s="45" t="str">
        <f t="shared" si="5"/>
        <v/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29376</v>
      </c>
      <c r="J142" s="194" t="str">
        <f>IFERROR(IF(AND(J80,J141)="","",(IF((SUM(J80)-SUM(J141))&gt;=0,(SUM(J80)-SUM(J141)),0))),"")</f>
        <v/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2.1399999999999997</v>
      </c>
      <c r="D143" s="45" t="str">
        <f t="shared" si="5"/>
        <v/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 t="str">
        <f>IFERROR(IF(AND(J141,J80)="","",(IF((SUM(J80)-SUM(J141))&lt;0,(SUM(J141)-SUM(J80)),0))),"")</f>
        <v/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2.15</v>
      </c>
      <c r="D144" s="45" t="str">
        <f t="shared" si="5"/>
        <v/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 t="str">
        <f>IFERROR(IF(AND(J145,J146)="","",SUM(J145,J146)),"")</f>
        <v/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2.16</v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/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31.12.
tekuće godine</v>
      </c>
      <c r="J150" s="196" t="str">
        <f>J16</f>
        <v>Od 01.01. do 31.12.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>
        <f t="shared" si="6"/>
        <v>7169.9640000000009</v>
      </c>
      <c r="D155" s="45" t="str">
        <f t="shared" si="6"/>
        <v/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29376</v>
      </c>
      <c r="J155" s="194" t="str">
        <f>IFERROR(IF(AND(J142,J143,J144)="","",IF((J142-J143-J144)&gt;=0,(J142-J143-J144),0)),"")</f>
        <v/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2.23</v>
      </c>
      <c r="D156" s="45" t="str">
        <f t="shared" si="6"/>
        <v/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 t="str">
        <f>IFERROR(IF(AND(J142,J143,J144)="","",IF((J142-J143-J144)&lt;0,ABS(J142-J143-J144),0)),"")</f>
        <v/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>
        <f t="shared" si="6"/>
        <v>7346.25</v>
      </c>
      <c r="D158" s="45" t="str">
        <f t="shared" si="6"/>
        <v/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29376</v>
      </c>
      <c r="J158" s="194" t="str">
        <f>IFERROR(IF(AND(J155,J157)="","",(IF((J155-J156+J157)&gt;=0,(SUM(J155)-SUM(J156)+SUM(J157)),0))),"")</f>
        <v/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2.2599999999999998</v>
      </c>
      <c r="D159" s="45" t="str">
        <f t="shared" si="6"/>
        <v/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 t="str">
        <f>IFERROR(IF(AND(J155,J157,J156)="","",(IF(J155-J156+J157&lt;0,ABS(SUM(J155)-SUM(J156)+SUM(J157)),0))),"")</f>
        <v/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6.4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6.4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6.4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6.4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8403.9660000000003</v>
      </c>
      <c r="D176" s="45" t="str">
        <f t="shared" si="7"/>
        <v/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29376</v>
      </c>
      <c r="J176" s="194" t="str">
        <f>IFERROR(IF(AND(J158,J159,J161)="","",SUM(J158)-SUM(J159)+SUM(J161)),"")</f>
        <v/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 t="str">
        <f t="shared" si="8"/>
        <v/>
      </c>
      <c r="D181" s="45" t="str">
        <f t="shared" si="8"/>
        <v/>
      </c>
      <c r="E181" s="202"/>
      <c r="F181" s="203" t="s">
        <v>2326</v>
      </c>
      <c r="G181" s="204"/>
      <c r="H181" s="205">
        <v>342</v>
      </c>
      <c r="I181" s="112"/>
      <c r="J181" s="112"/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 t="str">
        <f t="shared" si="8"/>
        <v/>
      </c>
      <c r="D184" s="45" t="str">
        <f t="shared" si="8"/>
        <v/>
      </c>
      <c r="E184" s="202"/>
      <c r="F184" s="203" t="s">
        <v>2326</v>
      </c>
      <c r="G184" s="204"/>
      <c r="H184" s="205">
        <v>344</v>
      </c>
      <c r="I184" s="112"/>
      <c r="J184" s="112"/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3.9279768750117494</v>
      </c>
      <c r="D186" s="45" t="str">
        <f>IF(ISERROR(ABS(LOG(ABS(SUM(D19:D185)),EXP(3)))),"",ABS(LOG(ABS(SUM(D19:D185)),EXP(3))))</f>
        <v/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1175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/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 t="str">
        <f>OP!C45</f>
        <v>Sarajevo, 10.04.2025</v>
      </c>
      <c r="F189" s="304"/>
      <c r="G189" s="159"/>
      <c r="J189" s="275" t="str">
        <f>OP!AJ45</f>
        <v>Olja Mujagić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view="pageLayout" topLeftCell="E79" zoomScaleNormal="100" workbookViewId="0">
      <selection activeCell="J92" sqref="J92"/>
    </sheetView>
  </sheetViews>
  <sheetFormatPr defaultColWidth="7.5546875" defaultRowHeight="13.8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70.33203125" style="52" customWidth="1"/>
    <col min="7" max="7" width="7.88671875" style="52" customWidth="1"/>
    <col min="8" max="9" width="8.5546875" style="52" customWidth="1"/>
    <col min="10" max="10" width="18.44140625" style="38" customWidth="1"/>
    <col min="11" max="11" width="18.44140625" style="37" customWidth="1"/>
    <col min="12" max="920" width="7.5546875" style="37" customWidth="1"/>
    <col min="921" max="921" width="7.5546875" style="46" customWidth="1"/>
    <col min="922" max="16384" width="7.5546875" style="46"/>
  </cols>
  <sheetData>
    <row r="1" spans="1:920" s="108" customFormat="1" ht="12.9" customHeight="1">
      <c r="A1" s="116"/>
      <c r="B1" s="116"/>
      <c r="C1" s="116"/>
      <c r="D1" s="116"/>
      <c r="E1" s="305" t="str">
        <f>BS!E1</f>
        <v>DUF SAFE INVESTMENT d.o.o. Sarajevo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2545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" customHeight="1">
      <c r="A3" s="116"/>
      <c r="B3" s="116"/>
      <c r="C3" s="116"/>
      <c r="D3" s="116"/>
      <c r="E3" s="306" t="str">
        <f>BS!E3</f>
        <v>Danijela Ozme 1,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" customHeight="1">
      <c r="A5" s="116"/>
      <c r="B5" s="116"/>
      <c r="C5" s="116"/>
      <c r="D5" s="116"/>
      <c r="E5" s="306" t="str">
        <f>BS!E5</f>
        <v>66.30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" customHeight="1">
      <c r="A7" s="118"/>
      <c r="B7" s="118"/>
      <c r="C7" s="118"/>
      <c r="D7" s="118"/>
      <c r="E7" s="306" t="str">
        <f>BS!E7</f>
        <v>4203333590002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" customHeight="1">
      <c r="A9" s="118"/>
      <c r="B9" s="118"/>
      <c r="C9" s="118"/>
      <c r="D9" s="118"/>
      <c r="E9" s="306" t="str">
        <f>BS!E9</f>
        <v>65-01-0415-24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2612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2609</v>
      </c>
      <c r="K17" s="196" t="s">
        <v>2611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>
        <f>IF(LEN(J21)=0,"",1+ABS((J21*A21)/LEN(J21))+A21)</f>
        <v>245.17499999999998</v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>
        <v>146499</v>
      </c>
      <c r="K21" s="162"/>
    </row>
    <row r="22" spans="1:920" s="37" customFormat="1" ht="13.5" customHeight="1">
      <c r="A22" s="45">
        <v>0.02</v>
      </c>
      <c r="B22" s="45">
        <v>0.57999999999999996</v>
      </c>
      <c r="C22" s="45">
        <f t="shared" ref="C22:D36" si="0">IF(LEN(J22)=0,"",1+ABS((J22*A22)/LEN(J22))+A22)</f>
        <v>292.40857142857141</v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>
        <v>-101986</v>
      </c>
      <c r="K22" s="162"/>
    </row>
    <row r="23" spans="1:920" s="37" customFormat="1" ht="13.5" customHeight="1">
      <c r="A23" s="45">
        <v>0.03</v>
      </c>
      <c r="B23" s="45">
        <v>0.59</v>
      </c>
      <c r="C23" s="45">
        <f t="shared" si="0"/>
        <v>93.02</v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>
        <v>-18398</v>
      </c>
      <c r="K23" s="162"/>
    </row>
    <row r="24" spans="1:920" s="37" customFormat="1" ht="13.5" customHeight="1">
      <c r="A24" s="45">
        <v>0.04</v>
      </c>
      <c r="B24" s="45">
        <v>0.6</v>
      </c>
      <c r="C24" s="45">
        <f t="shared" si="0"/>
        <v>180.02666666666667</v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>
        <v>-26848</v>
      </c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>
        <f t="shared" si="0"/>
        <v>19.970000000000002</v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>
        <v>-1350</v>
      </c>
      <c r="K27" s="162"/>
    </row>
    <row r="28" spans="1:920" s="37" customFormat="1" ht="26.4">
      <c r="A28" s="45">
        <v>0.08</v>
      </c>
      <c r="B28" s="45">
        <v>0.64</v>
      </c>
      <c r="C28" s="45">
        <f t="shared" si="0"/>
        <v>34.408000000000001</v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>
        <f t="array" ref="J28">IF(AND(ISBLANK(J21:J27)),"",SUM(J21:J27))</f>
        <v>-2083</v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>
        <v>-13162</v>
      </c>
      <c r="K31" s="162"/>
    </row>
    <row r="32" spans="1:920" s="37" customFormat="1" ht="13.5" customHeight="1">
      <c r="A32" s="45">
        <v>0.1</v>
      </c>
      <c r="B32" s="45">
        <v>0.66</v>
      </c>
      <c r="C32" s="45">
        <f>IF(LEN(J31)=0,"",1+ABS((J31*A32)/LEN(J31))+A32)</f>
        <v>220.46666666666667</v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3.2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 do 31.12.
tekuće godine</v>
      </c>
      <c r="K40" s="179" t="str">
        <f>K17</f>
        <v>Od 01.01. do 31.12.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6.4">
      <c r="A65" s="45">
        <v>0.38</v>
      </c>
      <c r="B65" s="45">
        <v>0.94</v>
      </c>
      <c r="C65" s="45">
        <f t="shared" si="1"/>
        <v>834.97333333333336</v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>-13162</v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>
        <f t="shared" ref="C68:D77" si="2">IF(LEN(J68)=0,"",1+ABS((J68*A68)/LEN(J68))+A68)</f>
        <v>13001.39</v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>
        <v>200000</v>
      </c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 do 31.12.
tekuće godine</v>
      </c>
      <c r="K80" s="179" t="str">
        <f>K17</f>
        <v>Od 01.01. do 31.12.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6.4">
      <c r="A85" s="45">
        <v>0.52</v>
      </c>
      <c r="B85" s="45">
        <v>1.08</v>
      </c>
      <c r="C85" s="45">
        <f>IF(LEN(J85)=0,"",1+ABS((J85*A85)/LEN(J85))+A85)</f>
        <v>17334.853333333333</v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>
        <f>IFERROR(IF(AND(J68,J69,J70,J71,J72,J73,J74,J75,J76,J77,J82,J83,J84)="","",SUM(J68,J69,J70,J71,J72,J73,J74,J75,J76,J77,J82,J83,J84)),"")</f>
        <v>200000</v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6.4">
      <c r="A87" s="45">
        <v>0.53</v>
      </c>
      <c r="B87" s="45">
        <v>1.0900000000000001</v>
      </c>
      <c r="C87" s="45">
        <f>IF(LEN(J87)=0,"",1+ABS((J87*A87)/LEN(J87))+A87)</f>
        <v>16321.555000000002</v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>
        <f>IFERROR(IF(AND(J28,J65,J85)="","",SUM(J28,J65,J85)),"")</f>
        <v>184755</v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6.4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>
        <f t="shared" si="4"/>
        <v>17245.36</v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>
        <f>IFERROR(IF(AND(J87,J89,J90)="","",SUM(J87,J89,J90)),"")</f>
        <v>184755</v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 t="str">
        <f>OP!C45</f>
        <v>Sarajevo, 10.04.2025</v>
      </c>
      <c r="F95" s="304"/>
      <c r="G95" s="159"/>
      <c r="H95" s="115"/>
      <c r="I95" s="115"/>
      <c r="J95" s="195"/>
      <c r="K95" s="275" t="str">
        <f>OP!AJ45</f>
        <v>Olja Mujagić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3.2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11" zoomScaleNormal="100" workbookViewId="0">
      <selection activeCell="J123" sqref="J123"/>
    </sheetView>
  </sheetViews>
  <sheetFormatPr defaultColWidth="7.5546875" defaultRowHeight="13.8"/>
  <cols>
    <col min="1" max="2" width="7.5546875" style="45" hidden="1" customWidth="1"/>
    <col min="3" max="4" width="10.44140625" style="45" hidden="1" customWidth="1"/>
    <col min="5" max="5" width="7.6640625" style="53" customWidth="1"/>
    <col min="6" max="6" width="70.33203125" style="52" customWidth="1"/>
    <col min="7" max="7" width="7.88671875" style="52" customWidth="1"/>
    <col min="8" max="8" width="8.5546875" style="52" customWidth="1"/>
    <col min="9" max="9" width="8.6640625" style="52" customWidth="1"/>
    <col min="10" max="10" width="18.44140625" style="38" customWidth="1"/>
    <col min="11" max="11" width="18.44140625" style="37" customWidth="1"/>
    <col min="12" max="920" width="7.5546875" style="37" customWidth="1"/>
    <col min="921" max="921" width="7.5546875" style="46" customWidth="1"/>
    <col min="922" max="16384" width="7.5546875" style="46"/>
  </cols>
  <sheetData>
    <row r="1" spans="1:920" s="108" customFormat="1" ht="12.9" customHeight="1">
      <c r="A1" s="116"/>
      <c r="B1" s="116"/>
      <c r="C1" s="116"/>
      <c r="D1" s="116"/>
      <c r="E1" s="305" t="str">
        <f>BS!E1</f>
        <v>DUF SAFE INVESTMENT d.o.o. Sarajevo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2546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" customHeight="1">
      <c r="A3" s="116"/>
      <c r="B3" s="116"/>
      <c r="C3" s="116"/>
      <c r="D3" s="116"/>
      <c r="E3" s="306" t="str">
        <f>BS!E3</f>
        <v>Danijela Ozme 1,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" customHeight="1">
      <c r="A5" s="116"/>
      <c r="B5" s="116"/>
      <c r="C5" s="116"/>
      <c r="D5" s="116"/>
      <c r="E5" s="306" t="str">
        <f>BS!E5</f>
        <v>66.30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" customHeight="1">
      <c r="A7" s="118"/>
      <c r="B7" s="118"/>
      <c r="C7" s="118"/>
      <c r="D7" s="118"/>
      <c r="E7" s="306" t="str">
        <f>BS!E7</f>
        <v>4203333590002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" customHeight="1">
      <c r="A9" s="118"/>
      <c r="B9" s="118"/>
      <c r="C9" s="118"/>
      <c r="D9" s="118"/>
      <c r="E9" s="306" t="str">
        <f>BS!E9</f>
        <v>65-01-0415-24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2612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2609</v>
      </c>
      <c r="K17" s="196" t="s">
        <v>2611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59.761999999999993</v>
      </c>
      <c r="D21" s="45" t="str">
        <f>IF(LEN(K21)=0,"",1+ABS((K21*B21)/LEN(K21))+B21)</f>
        <v/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29376</v>
      </c>
      <c r="K21" s="162"/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9.1649999999999991</v>
      </c>
      <c r="D23" s="45" t="str">
        <f t="shared" si="0"/>
        <v/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1629</v>
      </c>
      <c r="K23" s="162"/>
    </row>
    <row r="24" spans="1:920" s="37" customFormat="1">
      <c r="A24" s="45">
        <v>0.03</v>
      </c>
      <c r="B24" s="45">
        <v>0.85</v>
      </c>
      <c r="C24" s="45" t="str">
        <f t="shared" si="0"/>
        <v/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/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6.4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31.12.
tekuće godine</v>
      </c>
      <c r="K38" s="196" t="str">
        <f>K17</f>
        <v>Od 01.01. do 31.12.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>
      <c r="A51" s="45">
        <v>0.25</v>
      </c>
      <c r="B51" s="45">
        <v>1.08</v>
      </c>
      <c r="C51" s="45" t="str">
        <f t="shared" si="1"/>
        <v/>
      </c>
      <c r="D51" s="45" t="str">
        <f t="shared" si="1"/>
        <v/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/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 t="str">
        <f t="shared" si="1"/>
        <v/>
      </c>
      <c r="D53" s="45" t="str">
        <f t="shared" si="1"/>
        <v/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/>
      <c r="K53" s="112"/>
    </row>
    <row r="54" spans="1:11" s="37" customFormat="1">
      <c r="A54" s="45">
        <v>0.27</v>
      </c>
      <c r="B54" s="45">
        <v>1.1000000000000001</v>
      </c>
      <c r="C54" s="45">
        <f t="shared" si="1"/>
        <v>2464.9300000000003</v>
      </c>
      <c r="D54" s="45" t="str">
        <f t="shared" si="1"/>
        <v/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-54748</v>
      </c>
      <c r="K54" s="112"/>
    </row>
    <row r="55" spans="1:11" s="37" customFormat="1">
      <c r="A55" s="45">
        <v>0.28000000000000003</v>
      </c>
      <c r="B55" s="45">
        <v>1.1100000000000001</v>
      </c>
      <c r="C55" s="45">
        <f t="shared" si="1"/>
        <v>76.88000000000001</v>
      </c>
      <c r="D55" s="45" t="str">
        <f t="shared" si="1"/>
        <v/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-1350</v>
      </c>
      <c r="K55" s="112"/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>
      <c r="A57" s="45">
        <v>0.3</v>
      </c>
      <c r="B57" s="45">
        <v>1.1299999999999999</v>
      </c>
      <c r="C57" s="45">
        <f t="shared" si="1"/>
        <v>322.14999999999998</v>
      </c>
      <c r="D57" s="45" t="str">
        <f t="shared" si="1"/>
        <v/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4278</v>
      </c>
      <c r="K57" s="112"/>
    </row>
    <row r="58" spans="1:11" s="37" customFormat="1">
      <c r="A58" s="45">
        <v>0.31</v>
      </c>
      <c r="B58" s="45">
        <v>1.1399999999999999</v>
      </c>
      <c r="C58" s="45">
        <f t="shared" si="1"/>
        <v>1162.694</v>
      </c>
      <c r="D58" s="45" t="str">
        <f t="shared" si="1"/>
        <v/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18732</v>
      </c>
      <c r="K58" s="112"/>
    </row>
    <row r="59" spans="1:11" s="37" customFormat="1">
      <c r="A59" s="45">
        <v>0.32</v>
      </c>
      <c r="B59" s="45">
        <v>1.1499999999999999</v>
      </c>
      <c r="C59" s="45" t="str">
        <f t="shared" si="1"/>
        <v/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/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6.4">
      <c r="A61" s="45">
        <v>0.34</v>
      </c>
      <c r="B61" s="45">
        <v>1.17</v>
      </c>
      <c r="C61" s="45">
        <f t="shared" si="1"/>
        <v>142.98400000000001</v>
      </c>
      <c r="D61" s="45" t="str">
        <f t="shared" si="1"/>
        <v/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-2083</v>
      </c>
      <c r="K61" s="194" t="str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/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769.13333333333333</v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-13162</v>
      </c>
      <c r="K63" s="112"/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31.12.
tekuće godine</v>
      </c>
      <c r="K74" s="196" t="str">
        <f>K17</f>
        <v>Od 01.01. do 31.12.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6.4">
      <c r="A96" s="45">
        <v>0.64</v>
      </c>
      <c r="B96" s="45">
        <v>1.47</v>
      </c>
      <c r="C96" s="45">
        <f t="shared" si="4"/>
        <v>1405.5866666666668</v>
      </c>
      <c r="D96" s="45" t="str">
        <f t="shared" si="4"/>
        <v/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-13162</v>
      </c>
      <c r="K96" s="194" t="str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/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>
        <f t="shared" ref="C98:D110" si="5">IF(LEN(J98)=0,"",1+ABS((J98*A98)/LEN(J98))+A98)</f>
        <v>21668.316666666669</v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200000</v>
      </c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31.12.
tekuće godine</v>
      </c>
      <c r="K113" s="196" t="str">
        <f>K17</f>
        <v>Od 01.01. do 31.12.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6.4">
      <c r="A115" s="45">
        <v>0.78</v>
      </c>
      <c r="B115" s="45">
        <v>1.61</v>
      </c>
      <c r="C115" s="45">
        <f t="shared" ref="C115:D119" si="6">IF(LEN(J115)=0,"",1+ABS((J115*A115)/LEN(J115))+A115)</f>
        <v>26001.78</v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200000</v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6.4">
      <c r="A116" s="45">
        <v>0.79</v>
      </c>
      <c r="B116" s="45">
        <v>1.62</v>
      </c>
      <c r="C116" s="45">
        <f t="shared" si="6"/>
        <v>24327.865000000002</v>
      </c>
      <c r="D116" s="45" t="str">
        <f t="shared" si="6"/>
        <v/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184755</v>
      </c>
      <c r="K116" s="194" t="str">
        <f>IFERROR(IF(AND(K61,K96,K115)="","",SUM(K61,K96,K115)),"")</f>
        <v/>
      </c>
    </row>
    <row r="117" spans="1:920" s="37" customFormat="1">
      <c r="A117" s="45">
        <v>0.8</v>
      </c>
      <c r="B117" s="45">
        <v>1.63</v>
      </c>
      <c r="C117" s="45">
        <f t="shared" si="6"/>
        <v>1.8</v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0</v>
      </c>
      <c r="K117" s="114"/>
    </row>
    <row r="118" spans="1:920" s="37" customFormat="1" ht="26.4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25251.669999999995</v>
      </c>
      <c r="D119" s="45" t="str">
        <f t="shared" si="6"/>
        <v/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184755</v>
      </c>
      <c r="K119" s="194" t="str">
        <f>IFERROR(IF(AND(K116,K117,K118)="","",SUM(K116,K117,K118)),"")</f>
        <v/>
      </c>
    </row>
    <row r="120" spans="1:920" s="37" customFormat="1">
      <c r="A120" s="45"/>
      <c r="B120" s="45"/>
      <c r="C120" s="45">
        <f>IF(ISERROR(ABS(LOG(ABS(SUM(C21:C119)),EXP(3)))),"",ABS(LOG(ABS(SUM(C21:C119)),EXP(3))))</f>
        <v>3.8496390306756521</v>
      </c>
      <c r="D120" s="45" t="str">
        <f>IF(ISERROR(ABS(LOG(ABS(SUM(D21:D119)),EXP(3)))),"",ABS(LOG(ABS(SUM(D21:D119)),EXP(3))))</f>
        <v/>
      </c>
      <c r="E120" s="53"/>
      <c r="F120" s="52"/>
      <c r="G120" s="52"/>
      <c r="H120" s="52"/>
      <c r="I120" s="52"/>
      <c r="J120" s="38"/>
    </row>
    <row r="121" spans="1:920" s="146" customFormat="1" ht="13.2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7565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/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 t="str">
        <f>OP!C45</f>
        <v>Sarajevo, 10.04.2025</v>
      </c>
      <c r="F123" s="304"/>
      <c r="G123" s="159"/>
      <c r="H123" s="115"/>
      <c r="I123" s="115"/>
      <c r="J123" s="195"/>
      <c r="K123" s="275" t="str">
        <f>OP!AJ45</f>
        <v>Olja Mujagić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3.2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view="pageLayout" topLeftCell="U25" zoomScale="50" zoomScaleNormal="40" zoomScaleSheetLayoutView="70" zoomScalePageLayoutView="50" workbookViewId="0">
      <selection activeCell="X49" sqref="X49"/>
    </sheetView>
  </sheetViews>
  <sheetFormatPr defaultColWidth="9.88671875" defaultRowHeight="20.399999999999999"/>
  <cols>
    <col min="1" max="20" width="9.88671875" style="64" hidden="1" customWidth="1"/>
    <col min="21" max="21" width="3.33203125" style="65" customWidth="1"/>
    <col min="22" max="22" width="134.109375" style="65" customWidth="1"/>
    <col min="23" max="23" width="8.88671875" style="65" customWidth="1"/>
    <col min="24" max="33" width="23.6640625" style="65" customWidth="1"/>
    <col min="34" max="977" width="9.88671875" style="65" customWidth="1"/>
    <col min="978" max="978" width="9.88671875" style="36" customWidth="1"/>
    <col min="979" max="16384" width="9.88671875" style="36"/>
  </cols>
  <sheetData>
    <row r="1" spans="1:977" ht="22.8">
      <c r="V1" s="313" t="str">
        <f>BS!E1</f>
        <v>DUF SAFE INVESTMENT d.o.o. Sarajevo</v>
      </c>
      <c r="W1" s="313"/>
      <c r="X1" s="313"/>
    </row>
    <row r="2" spans="1:977" s="61" customFormat="1" ht="32.4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3" t="str">
        <f>BS!E3</f>
        <v>Danijela Ozme 1, SARAJEVO</v>
      </c>
      <c r="W3" s="313"/>
      <c r="X3" s="313"/>
      <c r="Y3" s="313"/>
      <c r="AC3" s="60"/>
      <c r="AD3" s="60"/>
      <c r="AE3" s="60"/>
      <c r="AF3" s="60"/>
      <c r="AG3" s="256" t="s">
        <v>2547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3" t="str">
        <f>BS!E5</f>
        <v>66.30</v>
      </c>
      <c r="W5" s="313"/>
      <c r="X5" s="313"/>
      <c r="Y5" s="31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3" t="str">
        <f>BS!E7</f>
        <v>4203333590002</v>
      </c>
      <c r="W7" s="313"/>
      <c r="X7" s="313"/>
      <c r="Y7" s="313"/>
      <c r="Z7" s="60"/>
      <c r="AA7" s="60"/>
      <c r="AB7" s="60"/>
      <c r="AC7" s="311"/>
      <c r="AD7" s="311"/>
      <c r="AE7" s="311"/>
      <c r="AF7" s="311"/>
      <c r="AG7" s="31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3" t="str">
        <f>BS!E9</f>
        <v>65-01-0415-24</v>
      </c>
      <c r="W9" s="313"/>
      <c r="X9" s="313"/>
      <c r="Y9" s="31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2"/>
      <c r="W11" s="322"/>
      <c r="X11" s="322"/>
      <c r="Y11" s="322"/>
      <c r="AG11" s="169"/>
      <c r="AH11" s="170"/>
      <c r="AI11" s="170"/>
      <c r="AJ11" s="170"/>
      <c r="AK11" s="170"/>
    </row>
    <row r="12" spans="1:977" ht="24.6">
      <c r="U12" s="312" t="s">
        <v>2505</v>
      </c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 spans="1:977" ht="22.8">
      <c r="U13" s="310" t="s">
        <v>2613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 spans="1:977" ht="22.8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4" t="s">
        <v>2506</v>
      </c>
      <c r="V15" s="314"/>
      <c r="W15" s="315" t="s">
        <v>1976</v>
      </c>
      <c r="X15" s="314" t="s">
        <v>2507</v>
      </c>
      <c r="Y15" s="314"/>
      <c r="Z15" s="314"/>
      <c r="AA15" s="314"/>
      <c r="AB15" s="314"/>
      <c r="AC15" s="314"/>
      <c r="AD15" s="316" t="s">
        <v>2508</v>
      </c>
      <c r="AE15" s="316" t="s">
        <v>2509</v>
      </c>
      <c r="AF15" s="316" t="s">
        <v>2510</v>
      </c>
      <c r="AG15" s="31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4"/>
      <c r="V16" s="314"/>
      <c r="W16" s="315"/>
      <c r="X16" s="120" t="s">
        <v>2100</v>
      </c>
      <c r="Y16" s="316" t="s">
        <v>2105</v>
      </c>
      <c r="Z16" s="314" t="s">
        <v>2512</v>
      </c>
      <c r="AA16" s="316" t="s">
        <v>2513</v>
      </c>
      <c r="AB16" s="316" t="s">
        <v>2514</v>
      </c>
      <c r="AC16" s="316" t="s">
        <v>2515</v>
      </c>
      <c r="AD16" s="316"/>
      <c r="AE16" s="316"/>
      <c r="AF16" s="316"/>
      <c r="AG16" s="31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4"/>
      <c r="V17" s="314"/>
      <c r="W17" s="315"/>
      <c r="X17" s="121" t="s">
        <v>138</v>
      </c>
      <c r="Y17" s="316"/>
      <c r="Z17" s="314"/>
      <c r="AA17" s="316"/>
      <c r="AB17" s="316"/>
      <c r="AC17" s="316"/>
      <c r="AD17" s="316"/>
      <c r="AE17" s="316"/>
      <c r="AF17" s="316"/>
      <c r="AG17" s="31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4"/>
      <c r="V18" s="314"/>
      <c r="W18" s="315"/>
      <c r="X18" s="122" t="s">
        <v>2516</v>
      </c>
      <c r="Y18" s="316"/>
      <c r="Z18" s="314"/>
      <c r="AA18" s="316"/>
      <c r="AB18" s="316"/>
      <c r="AC18" s="316"/>
      <c r="AD18" s="316"/>
      <c r="AE18" s="316"/>
      <c r="AF18" s="316"/>
      <c r="AG18" s="31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4"/>
      <c r="V19" s="314"/>
      <c r="W19" s="315"/>
      <c r="X19" s="121" t="s">
        <v>138</v>
      </c>
      <c r="Y19" s="316"/>
      <c r="Z19" s="314"/>
      <c r="AA19" s="316"/>
      <c r="AB19" s="316"/>
      <c r="AC19" s="316"/>
      <c r="AD19" s="316"/>
      <c r="AE19" s="316"/>
      <c r="AF19" s="316"/>
      <c r="AG19" s="31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4"/>
      <c r="V20" s="314"/>
      <c r="W20" s="315"/>
      <c r="X20" s="123" t="s">
        <v>2517</v>
      </c>
      <c r="Y20" s="316"/>
      <c r="Z20" s="314"/>
      <c r="AA20" s="316"/>
      <c r="AB20" s="316"/>
      <c r="AC20" s="316"/>
      <c r="AD20" s="316"/>
      <c r="AE20" s="316"/>
      <c r="AF20" s="316"/>
      <c r="AG20" s="31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 t="str">
        <f t="shared" ref="K22:T37" si="0">IF(LEN(X22)=0,"",1+ABS((X22*A22)/LEN(X22))+A22)</f>
        <v/>
      </c>
      <c r="L22" s="45" t="str">
        <f t="shared" si="0"/>
        <v/>
      </c>
      <c r="M22" s="45" t="str">
        <f t="shared" si="0"/>
        <v/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 t="str">
        <f t="shared" si="0"/>
        <v/>
      </c>
      <c r="R22" s="45" t="str">
        <f t="shared" si="0"/>
        <v/>
      </c>
      <c r="S22" s="45" t="str">
        <f t="shared" si="0"/>
        <v/>
      </c>
      <c r="T22" s="45" t="str">
        <f t="shared" si="0"/>
        <v/>
      </c>
      <c r="U22" s="319" t="s">
        <v>2614</v>
      </c>
      <c r="V22" s="319"/>
      <c r="W22" s="119">
        <v>901</v>
      </c>
      <c r="X22" s="125"/>
      <c r="Y22" s="126"/>
      <c r="Z22" s="126"/>
      <c r="AA22" s="126"/>
      <c r="AB22" s="126"/>
      <c r="AC22" s="126"/>
      <c r="AD22" s="126"/>
      <c r="AE22" s="143" t="str">
        <f>IFERROR(IF(AND(X22,Y22,Z22,AA22,AB22,AC22,AD22)="","",SUM(X22,Y22,Z22,AA22,AB22,AC22,AD22)),"")</f>
        <v/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 t="str">
        <f t="shared" si="0"/>
        <v/>
      </c>
      <c r="L25" s="45" t="str">
        <f t="shared" si="0"/>
        <v/>
      </c>
      <c r="M25" s="45" t="str">
        <f t="shared" si="0"/>
        <v/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 t="str">
        <f t="shared" si="0"/>
        <v/>
      </c>
      <c r="R25" s="45" t="str">
        <f t="shared" si="0"/>
        <v/>
      </c>
      <c r="S25" s="45" t="str">
        <f t="shared" si="0"/>
        <v/>
      </c>
      <c r="T25" s="45" t="str">
        <f t="shared" si="0"/>
        <v/>
      </c>
      <c r="U25" s="320" t="s">
        <v>2616</v>
      </c>
      <c r="V25" s="320"/>
      <c r="W25" s="119">
        <v>904</v>
      </c>
      <c r="X25" s="143" t="str">
        <f>IFERROR(IF(AND(X22,X23,X24)="","",SUM(X22,X23,X24)),"")</f>
        <v/>
      </c>
      <c r="Y25" s="143" t="str">
        <f t="shared" ref="Y25:AF25" si="1">IFERROR(IF(AND(Y22,Y23,Y24)="","",SUM(Y22,Y23,Y24)),"")</f>
        <v/>
      </c>
      <c r="Z25" s="143" t="str">
        <f t="shared" si="1"/>
        <v/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 t="str">
        <f t="shared" si="1"/>
        <v/>
      </c>
      <c r="AE25" s="143" t="str">
        <f>IFERROR(IF(AND(X25,Y25,Z25,AA25,AB25,AC25,AD25)="","",SUM(X25,Y25,Z25,AA25,AB25,AC25,AD25)),"")</f>
        <v/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 t="str">
        <f t="shared" si="0"/>
        <v/>
      </c>
      <c r="R27" s="45" t="str">
        <f t="shared" si="0"/>
        <v/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/>
      <c r="AE27" s="144" t="str">
        <f>IFERROR(IF(AND(X27,Y27,Z27,AA27,AB27,AC27,AD27)="","",SUM(X27,Y27,Z27,AA27,AB27,AC27,AD27)),"")</f>
        <v/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 t="str">
        <f t="shared" si="0"/>
        <v/>
      </c>
      <c r="R29" s="45" t="str">
        <f t="shared" si="0"/>
        <v/>
      </c>
      <c r="S29" s="45" t="str">
        <f t="shared" si="0"/>
        <v/>
      </c>
      <c r="T29" s="45" t="str">
        <f t="shared" si="0"/>
        <v/>
      </c>
      <c r="U29" s="320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 t="str">
        <f t="shared" si="2"/>
        <v/>
      </c>
      <c r="AE29" s="143" t="str">
        <f>IFERROR(IF(AND(X29,Y29,Z29,AA29,AB29,AC29,AD29)="","",SUM(X29,Y29,Z29,AA29,AB29,AC29,AD29)),"")</f>
        <v/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3" t="s">
        <v>2527</v>
      </c>
      <c r="V35" s="32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 t="str">
        <f t="shared" si="0"/>
        <v/>
      </c>
      <c r="L37" s="45" t="str">
        <f t="shared" si="0"/>
        <v/>
      </c>
      <c r="M37" s="45" t="str">
        <f t="shared" si="0"/>
        <v/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 t="str">
        <f t="shared" si="0"/>
        <v/>
      </c>
      <c r="R37" s="45" t="str">
        <f t="shared" si="0"/>
        <v/>
      </c>
      <c r="S37" s="45" t="str">
        <f t="shared" si="0"/>
        <v/>
      </c>
      <c r="T37" s="45" t="str">
        <f t="shared" si="0"/>
        <v/>
      </c>
      <c r="U37" s="320" t="s">
        <v>2615</v>
      </c>
      <c r="V37" s="320"/>
      <c r="W37" s="119">
        <v>913</v>
      </c>
      <c r="X37" s="143" t="str">
        <f>IFERROR(IF(AND(X25,X29,X31,X32,X33,X34,X35)="","",SUM(X25,X29,X31)-SUM(X32)-SUM(X33)+SUM(X34,X35)),"")</f>
        <v/>
      </c>
      <c r="Y37" s="143" t="str">
        <f>IFERROR(IF(AND(Y25,Y29,Y31,Y32,Y33,Y34,Y35)="","",SUM(Y25,Y29,Y31)-SUM(Y32)-SUM(Y33)+SUM(Y34,Y35)),"")</f>
        <v/>
      </c>
      <c r="Z37" s="143" t="str">
        <f t="shared" ref="Z37:AD37" si="3">IFERROR(IF(AND(Z25,Z29,Z31,Z32,Z33,Z34,Z35)="","",SUM(Z25,Z29,Z31)-SUM(Z32)-SUM(Z33)+SUM(Z34,Z35)),"")</f>
        <v/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 t="str">
        <f t="shared" si="3"/>
        <v/>
      </c>
      <c r="AE37" s="143" t="str">
        <f>IFERROR(IF(AND(X37,Y37,Z37,AA37,AB37,AC37,AD37)="","",SUM(X37,Y37,Z37,AA37,AB37,AC37,AD37)),"")</f>
        <v/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 t="str">
        <f t="shared" si="4"/>
        <v/>
      </c>
      <c r="L41" s="45" t="str">
        <f t="shared" si="4"/>
        <v/>
      </c>
      <c r="M41" s="45" t="str">
        <f t="shared" si="4"/>
        <v/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 t="str">
        <f t="shared" si="4"/>
        <v/>
      </c>
      <c r="R41" s="45" t="str">
        <f t="shared" si="4"/>
        <v/>
      </c>
      <c r="S41" s="45" t="str">
        <f t="shared" si="4"/>
        <v/>
      </c>
      <c r="T41" s="45" t="str">
        <f t="shared" si="4"/>
        <v/>
      </c>
      <c r="U41" s="320" t="s">
        <v>2617</v>
      </c>
      <c r="V41" s="320"/>
      <c r="W41" s="119">
        <v>916</v>
      </c>
      <c r="X41" s="143" t="str">
        <f>IFERROR(IF(AND(X37,X39,X40)="","",SUM(X37,X39,X40)),"")</f>
        <v/>
      </c>
      <c r="Y41" s="143" t="str">
        <f t="shared" ref="Y41:AD41" si="5">IFERROR(IF(AND(Y37,Y39,Y40)="","",SUM(Y37,Y39,Y40)),"")</f>
        <v/>
      </c>
      <c r="Z41" s="143" t="str">
        <f t="shared" si="5"/>
        <v/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 t="str">
        <f t="shared" si="5"/>
        <v/>
      </c>
      <c r="AE41" s="143" t="str">
        <f>IFERROR(IF(AND(X41,Y41,Z41,AA41,AB41,AC41,AD41)="","",SUM(X41,Y41,Z41,AA41,AB41,AC41,AD41)),"")</f>
        <v/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9873.0160000000033</v>
      </c>
      <c r="R43" s="45">
        <f t="shared" si="4"/>
        <v>11342.066000000004</v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>
        <v>29376</v>
      </c>
      <c r="AE43" s="144">
        <f>IFERROR(IF(AND(X43,Y43,Z43,AA43,AB43,AC43,AD43)="","",SUM(X43,Y43,Z43,AA43,AB43,AC43,AD43)),"")</f>
        <v>29376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9990.5400000000045</v>
      </c>
      <c r="R45" s="45">
        <f t="shared" si="4"/>
        <v>11459.590000000006</v>
      </c>
      <c r="S45" s="45" t="str">
        <f t="shared" si="4"/>
        <v/>
      </c>
      <c r="T45" s="45" t="str">
        <f t="shared" si="4"/>
        <v/>
      </c>
      <c r="U45" s="320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29376</v>
      </c>
      <c r="AE45" s="143">
        <f>IFERROR(IF(AND(X45,Y45,Z45,AA45,AB45,AC45,AD45)="","",SUM(X45,Y45,Z45,AA45,AB45,AC45,AD45)),"")</f>
        <v>29376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>
        <f t="shared" si="4"/>
        <v>6667.8666666666668</v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>
        <f t="shared" si="4"/>
        <v>65336.293333333364</v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>
        <v>200000</v>
      </c>
      <c r="Y47" s="129"/>
      <c r="Z47" s="129"/>
      <c r="AA47" s="129"/>
      <c r="AB47" s="129"/>
      <c r="AC47" s="129"/>
      <c r="AD47" s="129"/>
      <c r="AE47" s="144">
        <f>IFERROR(IF(AND(X47,Y47,Z47,AA47,AB47,AC47,AD47)="","",SUM(X47,Y47,Z47,AA47,AB47,AC47,AD47)),"")</f>
        <v>200000</v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8334.5833333333339</v>
      </c>
      <c r="L53" s="103" t="str">
        <f t="shared" si="4"/>
        <v/>
      </c>
      <c r="M53" s="103" t="str">
        <f t="shared" si="4"/>
        <v/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10343.112000000003</v>
      </c>
      <c r="R53" s="103">
        <f t="shared" si="4"/>
        <v>76843.970000000016</v>
      </c>
      <c r="S53" s="103" t="str">
        <f t="shared" si="4"/>
        <v/>
      </c>
      <c r="T53" s="103" t="str">
        <f t="shared" si="4"/>
        <v/>
      </c>
      <c r="U53" s="319" t="s">
        <v>2618</v>
      </c>
      <c r="V53" s="319"/>
      <c r="W53" s="119">
        <v>925</v>
      </c>
      <c r="X53" s="143">
        <f>IFERROR(IF(AND(X41,X45,X47,X48,X49,X50,X51)="","",SUM(X41,X45,X47)-SUM(X48)-SUM(X49)+SUM(X50,X51)),"")</f>
        <v>200000</v>
      </c>
      <c r="Y53" s="143" t="str">
        <f>IFERROR(IF(AND(Y41,Y45,Y47,Y48,Y49,Y50,Y51)="","",SUM(Y41,Y45,Y47)-SUM(Y48)-SUM(Y49)+SUM(Y50,Y51)),"")</f>
        <v/>
      </c>
      <c r="Z53" s="143" t="str">
        <f t="shared" ref="Z53:AD53" si="7">IFERROR(IF(AND(Z41,Z45,Z47,Z48,Z49,Z50,Z51)="","",SUM(Z41,Z45,Z47)-SUM(Z48)-SUM(Z49)+SUM(Z50,Z51)),"")</f>
        <v/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29376</v>
      </c>
      <c r="AE53" s="143">
        <f>IFERROR(IF(AND(X53,Y53,Z53,AA53,AB53,AC53,AD53)="","",SUM(X53,Y53,Z53,AA53,AB53,AC53,AD53)),"")</f>
        <v>229376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3.2053229333600814</v>
      </c>
      <c r="L54" s="239" t="str">
        <f t="shared" ref="L54:T54" si="8">IF(ISERROR(ABS(LOG(ABS(SUM(L22:L53)),EXP(3)))),"",ABS(LOG(ABS(SUM(L22:L53)),EXP(3))))</f>
        <v/>
      </c>
      <c r="M54" s="239" t="str">
        <f t="shared" si="8"/>
        <v/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3.4386059912311282</v>
      </c>
      <c r="R54" s="239">
        <f t="shared" si="8"/>
        <v>4.0045303890268107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21" t="str">
        <f>OP!C45</f>
        <v>Sarajevo, 10.04.2025</v>
      </c>
      <c r="V57" s="321"/>
      <c r="AG57" s="274" t="str">
        <f>OP!AJ45</f>
        <v>Olja Mujagić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546875" defaultRowHeight="15"/>
  <cols>
    <col min="1" max="1" width="5.109375" style="85" hidden="1" customWidth="1"/>
    <col min="2" max="2" width="1.6640625" style="85" customWidth="1"/>
    <col min="3" max="3" width="12.6640625" style="86" bestFit="1" customWidth="1"/>
    <col min="4" max="4" width="3" style="86" customWidth="1"/>
    <col min="5" max="5" width="2.5546875" style="86" customWidth="1"/>
    <col min="6" max="6" width="9.109375" style="86" bestFit="1" customWidth="1"/>
    <col min="7" max="17" width="2.5546875" style="86" customWidth="1"/>
    <col min="18" max="18" width="12.88671875" style="86" customWidth="1"/>
    <col min="19" max="21" width="2.5546875" style="86" customWidth="1"/>
    <col min="22" max="22" width="3" style="86" customWidth="1"/>
    <col min="23" max="31" width="2.5546875" style="86" customWidth="1"/>
    <col min="32" max="32" width="2.6640625" style="86" customWidth="1"/>
    <col min="33" max="33" width="3.88671875" style="86" customWidth="1"/>
    <col min="34" max="34" width="4.44140625" style="86" customWidth="1"/>
    <col min="35" max="35" width="1" style="86" customWidth="1"/>
    <col min="36" max="36" width="3.88671875" style="86" customWidth="1"/>
    <col min="37" max="38" width="2.5546875" style="86" customWidth="1"/>
    <col min="39" max="41" width="2.5546875" style="86"/>
    <col min="42" max="42" width="1.88671875" style="86" customWidth="1"/>
    <col min="43" max="43" width="1.5546875" style="86" customWidth="1"/>
    <col min="44" max="44" width="4.5546875" style="86" customWidth="1"/>
    <col min="45" max="16384" width="2.5546875" style="86"/>
  </cols>
  <sheetData>
    <row r="1" spans="1:920" s="81" customFormat="1" ht="15" customHeight="1">
      <c r="C1" s="340" t="str">
        <f>BS!E1</f>
        <v>DUF SAFE INVESTMENT d.o.o. Sarajevo</v>
      </c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4" t="s">
        <v>2584</v>
      </c>
      <c r="AL2" s="324"/>
      <c r="AM2" s="324"/>
      <c r="AN2" s="324"/>
      <c r="AO2" s="324"/>
      <c r="AP2" s="324"/>
      <c r="AQ2" s="324"/>
    </row>
    <row r="3" spans="1:920" s="81" customFormat="1" ht="15" customHeight="1">
      <c r="B3" s="266"/>
      <c r="C3" s="340" t="str">
        <f>BS!E3</f>
        <v>Danijela Ozme 1, SARAJEVO</v>
      </c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297" t="str">
        <f>BS!E5</f>
        <v>66.30</v>
      </c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40" t="str">
        <f>BS!E7</f>
        <v>4203333590002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40" t="str">
        <f>BS!E9</f>
        <v>65-01-0415-24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</row>
    <row r="10" spans="1:920" ht="21" customHeight="1">
      <c r="C10" s="271" t="s">
        <v>2544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7" t="s">
        <v>2585</v>
      </c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2" t="s">
        <v>2586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4"/>
      <c r="S14" s="332" t="s">
        <v>2587</v>
      </c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4"/>
    </row>
    <row r="15" spans="1:920">
      <c r="C15" s="335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7"/>
      <c r="S15" s="335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7"/>
    </row>
    <row r="16" spans="1:920" s="88" customFormat="1">
      <c r="A16" s="77">
        <v>0.01</v>
      </c>
      <c r="B16" s="77" t="str">
        <f>IF(LEN(Y16)=0,"",1+ABS((Y16*A16)/LEN(Y16))+A16)</f>
        <v/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</row>
    <row r="17" spans="1:43" s="88" customFormat="1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</row>
    <row r="18" spans="1:43" s="88" customFormat="1">
      <c r="A18" s="77"/>
      <c r="B18" s="77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</row>
    <row r="19" spans="1:43" s="88" customFormat="1">
      <c r="A19" s="77"/>
      <c r="B19" s="77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</row>
    <row r="20" spans="1:43" s="88" customFormat="1">
      <c r="A20" s="77"/>
      <c r="B20" s="77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325"/>
      <c r="P20" s="325"/>
      <c r="Q20" s="325"/>
      <c r="R20" s="325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</row>
    <row r="21" spans="1:43" s="88" customFormat="1">
      <c r="A21" s="77"/>
      <c r="B21" s="77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</row>
    <row r="22" spans="1:43" s="88" customFormat="1">
      <c r="A22" s="77"/>
      <c r="B22" s="77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</row>
    <row r="23" spans="1:43" s="88" customFormat="1">
      <c r="A23" s="77"/>
      <c r="B23" s="77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</row>
    <row r="24" spans="1:43" s="88" customFormat="1">
      <c r="A24" s="77"/>
      <c r="B24" s="77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</row>
    <row r="25" spans="1:43" s="88" customFormat="1">
      <c r="A25" s="77"/>
      <c r="B25" s="77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</row>
    <row r="26" spans="1:43" s="88" customFormat="1">
      <c r="A26" s="77"/>
      <c r="B26" s="77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</row>
    <row r="27" spans="1:43" s="88" customFormat="1">
      <c r="A27" s="77"/>
      <c r="B27" s="77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</row>
    <row r="28" spans="1:43" s="88" customFormat="1">
      <c r="A28" s="77"/>
      <c r="B28" s="77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</row>
    <row r="29" spans="1:43" s="88" customFormat="1">
      <c r="A29" s="77"/>
      <c r="B29" s="77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</row>
    <row r="30" spans="1:43" s="88" customFormat="1">
      <c r="A30" s="77"/>
      <c r="B30" s="77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</row>
    <row r="31" spans="1:43" s="88" customFormat="1">
      <c r="A31" s="77"/>
      <c r="B31" s="77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</row>
    <row r="32" spans="1:43" s="88" customFormat="1">
      <c r="A32" s="77"/>
      <c r="B32" s="77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</row>
    <row r="33" spans="1:43" s="88" customFormat="1">
      <c r="A33" s="77"/>
      <c r="B33" s="77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</row>
    <row r="34" spans="1:43" s="88" customFormat="1">
      <c r="A34" s="77"/>
      <c r="B34" s="77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</row>
    <row r="35" spans="1:43" s="88" customFormat="1">
      <c r="A35" s="77"/>
      <c r="B35" s="77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</row>
    <row r="36" spans="1:43" s="88" customFormat="1">
      <c r="A36" s="77"/>
      <c r="B36" s="7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</row>
    <row r="37" spans="1:43" s="88" customFormat="1">
      <c r="A37" s="77"/>
      <c r="B37" s="77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</row>
    <row r="38" spans="1:43" s="88" customFormat="1">
      <c r="A38" s="77"/>
      <c r="B38" s="77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</row>
    <row r="39" spans="1:43" s="88" customFormat="1">
      <c r="A39" s="77"/>
      <c r="B39" s="77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</row>
    <row r="40" spans="1:43" s="88" customFormat="1">
      <c r="A40" s="77"/>
      <c r="B40" s="77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</row>
    <row r="41" spans="1:43" s="88" customFormat="1">
      <c r="A41" s="77"/>
      <c r="B41" s="77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</row>
    <row r="42" spans="1:43" s="88" customFormat="1">
      <c r="A42" s="77"/>
      <c r="B42" s="77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I42" s="326"/>
      <c r="AJ42" s="326"/>
      <c r="AK42" s="326"/>
      <c r="AL42" s="326"/>
      <c r="AM42" s="326"/>
      <c r="AN42" s="326"/>
      <c r="AO42" s="326"/>
      <c r="AP42" s="326"/>
      <c r="AQ42" s="326"/>
    </row>
    <row r="43" spans="1:43" s="88" customFormat="1">
      <c r="A43" s="77"/>
      <c r="B43" s="77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</row>
    <row r="44" spans="1:43" s="88" customFormat="1">
      <c r="A44" s="77"/>
      <c r="B44" s="77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</row>
    <row r="45" spans="1:43" s="88" customFormat="1">
      <c r="A45" s="77"/>
      <c r="B45" s="77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</row>
    <row r="46" spans="1:43" s="88" customFormat="1">
      <c r="A46" s="77"/>
      <c r="B46" s="77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</row>
    <row r="47" spans="1:43" s="88" customFormat="1">
      <c r="A47" s="77"/>
      <c r="B47" s="77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</row>
    <row r="48" spans="1:43" s="88" customFormat="1">
      <c r="A48" s="77"/>
      <c r="B48" s="77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6" t="s">
        <v>2149</v>
      </c>
      <c r="D51" s="296"/>
      <c r="E51" s="296"/>
      <c r="F51" s="296"/>
      <c r="G51" s="296"/>
      <c r="H51" s="296"/>
      <c r="I51" s="296"/>
      <c r="J51" s="296"/>
      <c r="K51" s="296"/>
      <c r="L51" s="296"/>
      <c r="T51" s="100"/>
      <c r="AE51" s="100" t="s">
        <v>2151</v>
      </c>
      <c r="AH51" s="331" t="s">
        <v>2150</v>
      </c>
      <c r="AI51" s="331"/>
      <c r="AJ51" s="331"/>
      <c r="AK51" s="331"/>
      <c r="AL51" s="331"/>
      <c r="AM51" s="331"/>
      <c r="AN51" s="331"/>
      <c r="AO51" s="331"/>
      <c r="AP51" s="331"/>
      <c r="AQ51" s="331"/>
    </row>
    <row r="52" spans="1:43">
      <c r="C52" s="329" t="str">
        <f>OP!C45</f>
        <v>Sarajevo, 10.04.2025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AH52" s="330" t="str">
        <f>OP!AJ45</f>
        <v>Olja Mujagić</v>
      </c>
      <c r="AI52" s="330"/>
      <c r="AJ52" s="330"/>
      <c r="AK52" s="330"/>
      <c r="AL52" s="330"/>
      <c r="AM52" s="330"/>
      <c r="AN52" s="330"/>
      <c r="AO52" s="330"/>
      <c r="AP52" s="330"/>
      <c r="AQ52" s="33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AJ57" s="95"/>
      <c r="AK57" s="96"/>
    </row>
    <row r="58" spans="1:43" ht="72.75" customHeight="1">
      <c r="AJ58" s="95"/>
      <c r="AK58" s="96"/>
    </row>
    <row r="59" spans="1:43" ht="20.399999999999999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Olja</cp:lastModifiedBy>
  <cp:lastPrinted>2025-03-04T14:15:29Z</cp:lastPrinted>
  <dcterms:created xsi:type="dcterms:W3CDTF">2022-09-29T09:39:00Z</dcterms:created>
  <dcterms:modified xsi:type="dcterms:W3CDTF">2025-04-22T09:03:33Z</dcterms:modified>
  <cp:category>PrivrednaDrustva</cp:category>
</cp:coreProperties>
</file>